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30" yWindow="240" windowWidth="18930" windowHeight="17295" tabRatio="498" activeTab="1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6" l="1"/>
  <c r="I57" i="1" l="1"/>
  <c r="F57" i="1"/>
  <c r="H57" i="1" l="1"/>
  <c r="E57" i="1"/>
  <c r="H29" i="2" l="1"/>
  <c r="F41" i="1" l="1"/>
  <c r="F42" i="1"/>
  <c r="F43" i="1"/>
  <c r="F44" i="1"/>
  <c r="D56" i="6" l="1"/>
  <c r="F47" i="1" l="1"/>
  <c r="F46" i="1"/>
  <c r="E29" i="2" s="1"/>
  <c r="N11" i="2" l="1"/>
  <c r="F12" i="1"/>
  <c r="E25" i="1" l="1"/>
  <c r="F25" i="1"/>
  <c r="H25" i="1"/>
  <c r="I25" i="1"/>
  <c r="G26" i="1"/>
  <c r="J26" i="1"/>
  <c r="G27" i="1"/>
  <c r="J27" i="1"/>
  <c r="G28" i="1"/>
  <c r="J28" i="1"/>
  <c r="E29" i="1"/>
  <c r="F29" i="1"/>
  <c r="H29" i="1"/>
  <c r="I29" i="1"/>
  <c r="G30" i="1"/>
  <c r="J30" i="1"/>
  <c r="G31" i="1"/>
  <c r="J31" i="1"/>
  <c r="H32" i="1" l="1"/>
  <c r="F32" i="1"/>
  <c r="E32" i="1"/>
  <c r="G29" i="1"/>
  <c r="J29" i="1"/>
  <c r="J25" i="1"/>
  <c r="G25" i="1"/>
  <c r="I32" i="1"/>
  <c r="J32" i="1" l="1"/>
  <c r="G32" i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D35" i="2"/>
  <c r="D34" i="2"/>
  <c r="D33" i="2" l="1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63" i="1" l="1"/>
  <c r="G63" i="1" s="1"/>
  <c r="F64" i="1"/>
  <c r="J42" i="1"/>
  <c r="G43" i="1" l="1"/>
  <c r="U61" i="1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S12" i="1"/>
  <c r="S11" i="1"/>
  <c r="S15" i="1"/>
  <c r="T13" i="1" l="1"/>
  <c r="T14" i="1"/>
  <c r="T15" i="1"/>
  <c r="U64" i="1"/>
  <c r="W59" i="1" s="1"/>
  <c r="T64" i="1"/>
  <c r="V59" i="1" s="1"/>
  <c r="F36" i="2"/>
  <c r="F35" i="2"/>
  <c r="F34" i="2"/>
  <c r="F33" i="2"/>
  <c r="F30" i="2"/>
  <c r="F29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17" i="1" s="1"/>
  <c r="E32" i="2"/>
  <c r="D17" i="1" l="1"/>
  <c r="G12" i="1"/>
  <c r="G13" i="1"/>
  <c r="G14" i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<sst xmlns="http://schemas.openxmlformats.org/spreadsheetml/2006/main" count="315" uniqueCount="135">
  <si>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</si>
  <si>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</si>
  <si>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</si>
  <si>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</si>
  <si>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</si>
  <si>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</si>
  <si>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</si>
  <si>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</si>
  <si>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</si>
  <si>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</si>
  <si>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</si>
  <si>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</si>
  <si>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</si>
  <si>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</si>
  <si>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</si>
  <si>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</si>
  <si>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</si>
  <si>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</si>
  <si>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</si>
  <si>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</si>
  <si>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</si>
  <si>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</si>
  <si>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</si>
  <si>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</si>
  <si>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</si>
  <si>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</si>
  <si>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</si>
  <si>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</si>
  <si>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</si>
  <si>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</si>
  <si>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</si>
  <si>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</si>
  <si>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</si>
  <si>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</si>
  <si>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</si>
  <si>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</si>
  <si>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</si>
  <si>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</si>
  <si>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</si>
  <si>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</si>
  <si>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</si>
  <si>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</si>
  <si>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</si>
  <si>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</si>
  <si>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</si>
  <si>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</si>
  <si>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</si>
  <si>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</si>
  <si>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</si>
  <si>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</si>
  <si>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</si>
  <si>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</si>
  <si>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</si>
  <si>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</si>
  <si>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</si>
  <si>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</si>
  <si>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</si>
  <si>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</si>
  <si>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</si>
  <si>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</si>
  <si>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</si>
  <si>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</si>
  <si>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</si>
  <si>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</si>
  <si>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</si>
  <si>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</si>
  <si>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</si>
  <si>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</si>
  <si>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</si>
  <si>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</si>
  <si>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</si>
  <si>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</si>
  <si>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</si>
  <si>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</si>
  <si>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</si>
  <si>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</si>
  <si>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</si>
  <si>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</si>
  <si>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</si>
  <si>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</si>
  <si>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</si>
  <si>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</si>
  <si>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</si>
  <si>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</si>
  <si>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</si>
  <si>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</si>
  <si>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</si>
  <si>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</si>
  <si>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</si>
  <si>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</si>
  <si>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</si>
  <si>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</si>
  <si>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</si>
  <si>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</si>
  <si>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</si>
  <si>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</si>
  <si>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</si>
  <si>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</si>
  <si>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</si>
  <si>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</si>
  <si>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</si>
  <si>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</si>
  <si>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</si>
  <si>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</si>
  <si>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</si>
  <si>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</si>
  <si>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</si>
  <si>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</si>
  <si>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</si>
  <si>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</si>
  <si>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</si>
  <si>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</si>
  <si>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</si>
  <si>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</si>
  <si>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</si>
  <si>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</si>
  <si>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</si>
  <si>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</si>
  <si>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Calor de proceso</t>
  </si>
  <si>
    <t>--</t>
  </si>
  <si>
    <t>Flexigas</t>
  </si>
  <si>
    <t>Cuadro N° 2 : Producción de energía eléctrica nacional según sistema y mercado 2023 vs 2022</t>
  </si>
  <si>
    <t>Cuadro N° 3 : Producción de energía eléctrica nacional según mercado 2023 vs 2022</t>
  </si>
  <si>
    <t>Cuadro N° 4 : Producción de energía eléctrica nacional según destino y recurso 2023 vs 2022</t>
  </si>
  <si>
    <t>Cuadro N° 5: Producción de energía eléctrica nacional por tipo de recurso energético 2023 vs 2022</t>
  </si>
  <si>
    <t>Cuadro N° 6: Producción de energía eléctrica con Recurso Convencional y No Convencional 2023 vs 2022</t>
  </si>
  <si>
    <t>Cuadro N° 7: Producción de energía eléctrica según tipo de participación en el Mercado Eléctrico 2023 vs 2022</t>
  </si>
  <si>
    <t>3.1 Producción de energía eléctrica (GWh) nacional según zona 2023 vs 2022</t>
  </si>
  <si>
    <t>1. RESUMEN NACIONAL AL MES DE JULIO 2023</t>
  </si>
  <si>
    <t>Julio</t>
  </si>
  <si>
    <t>Enero - Julio</t>
  </si>
  <si>
    <t>Grafico N° 11: Generación de energía eléctrica por Región, al mes de julio 2023</t>
  </si>
  <si>
    <t>Cuadro N° 8: Producción de energía eléctrica nacional por zona del país, al mes de julio</t>
  </si>
  <si>
    <t>3.2 Producción de energía eléctrica (GWh) por origen y zona al mes de julio 2023</t>
  </si>
  <si>
    <t>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</si>
</sst>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6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99" fillId="0" borderId="28" xfId="0" applyNumberFormat="1" applyFont="1" applyBorder="1"/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3" fontId="0" fillId="68" borderId="0" xfId="0" quotePrefix="1" applyNumberFormat="1" applyFill="1" applyAlignment="1">
      <alignment horizontal="center"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182" fontId="0" fillId="68" borderId="61" xfId="0" quotePrefix="1" applyNumberFormat="1" applyFill="1" applyBorder="1" applyAlignment="1">
      <alignment horizontal="center" vertical="center"/>
    </xf>
    <xf numFmtId="3" fontId="0" fillId="68" borderId="27" xfId="0" applyNumberFormat="1" applyFill="1" applyBorder="1" applyAlignment="1">
      <alignment vertical="center"/>
    </xf>
    <xf numFmtId="9" fontId="96" fillId="68" borderId="32" xfId="33743" quotePrefix="1" applyFont="1" applyFill="1" applyBorder="1" applyAlignment="1">
      <alignment horizontal="center" vertical="center"/>
    </xf>
    <xf numFmtId="164" fontId="0" fillId="68" borderId="0" xfId="33744" applyFont="1" applyFill="1" applyBorder="1"/>
    <xf numFmtId="9" fontId="96" fillId="68" borderId="34" xfId="33743" applyNumberFormat="1" applyFont="1" applyFill="1" applyBorder="1" applyAlignment="1">
      <alignment horizontal="center"/>
    </xf>
    <xf numFmtId="9" fontId="96" fillId="0" borderId="32" xfId="33743" applyNumberFormat="1" applyFont="1" applyBorder="1" applyAlignment="1">
      <alignment horizontal="center"/>
    </xf>
    <xf numFmtId="9" fontId="96" fillId="68" borderId="32" xfId="33743" applyNumberFormat="1" applyFont="1" applyFill="1" applyBorder="1" applyAlignment="1">
      <alignment horizontal="center" vertical="center"/>
    </xf>
    <xf numFmtId="178" fontId="76" fillId="68" borderId="25" xfId="33743" applyNumberFormat="1" applyFont="1" applyFill="1" applyBorder="1"/>
    <xf numFmtId="178" fontId="76" fillId="0" borderId="73" xfId="33743" applyNumberFormat="1" applyFont="1" applyBorder="1"/>
    <xf numFmtId="4" fontId="99" fillId="0" borderId="107" xfId="0" applyNumberFormat="1" applyFont="1" applyBorder="1"/>
    <xf numFmtId="9" fontId="96" fillId="68" borderId="32" xfId="33743" applyNumberFormat="1" applyFont="1" applyFill="1" applyBorder="1" applyAlignment="1">
      <alignment horizontal="center"/>
    </xf>
    <xf numFmtId="0" fontId="96" fillId="0" borderId="0" xfId="33743" applyNumberFormat="1" applyFont="1" applyAlignment="1">
      <alignment horizontal="center"/>
    </xf>
    <xf numFmtId="3" fontId="0" fillId="68" borderId="113" xfId="0" applyNumberFormat="1" applyFill="1" applyBorder="1"/>
    <xf numFmtId="178" fontId="96" fillId="68" borderId="103" xfId="33743" applyNumberFormat="1" applyFont="1" applyFill="1" applyBorder="1" applyAlignment="1">
      <alignment horizontal="center"/>
    </xf>
    <xf numFmtId="9" fontId="76" fillId="0" borderId="73" xfId="33743" applyNumberFormat="1" applyFont="1" applyBorder="1"/>
    <xf numFmtId="4" fontId="99" fillId="0" borderId="78" xfId="0" applyNumberFormat="1" applyFont="1" applyBorder="1"/>
    <xf numFmtId="167" fontId="93" fillId="68" borderId="75" xfId="33743" applyNumberFormat="1" applyFont="1" applyFill="1" applyBorder="1"/>
    <xf numFmtId="167" fontId="93" fillId="68" borderId="76" xfId="0" applyNumberFormat="1" applyFont="1" applyFill="1" applyBorder="1"/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178" fontId="96" fillId="68" borderId="32" xfId="33743" applyNumberFormat="1" applyFont="1" applyFill="1" applyBorder="1" applyAlignment="1">
      <alignment horizontal="center" vertic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2073.8058956199998</c:v>
                </c:pt>
                <c:pt idx="1">
                  <c:v>2675.1025998468058</c:v>
                </c:pt>
                <c:pt idx="2">
                  <c:v>172.79672999999997</c:v>
                </c:pt>
                <c:pt idx="3">
                  <c:v>58.981743000000009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1773.4843128734824</c:v>
                </c:pt>
                <c:pt idx="1">
                  <c:v>3056.6585422183475</c:v>
                </c:pt>
                <c:pt idx="2">
                  <c:v>188.34987344500004</c:v>
                </c:pt>
                <c:pt idx="3">
                  <c:v>69.08320775250003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586112"/>
        <c:axId val="194588032"/>
      </c:barChart>
      <c:catAx>
        <c:axId val="194586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4588032"/>
        <c:crosses val="autoZero"/>
        <c:auto val="1"/>
        <c:lblAlgn val="ctr"/>
        <c:lblOffset val="100"/>
        <c:noMultiLvlLbl val="0"/>
      </c:catAx>
      <c:valAx>
        <c:axId val="19458803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458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1391.3300191543324</c:v>
                </c:pt>
                <c:pt idx="2" formatCode="_ * #,##0.00_ ;_ * \-#,##0.00_ ;_ * &quot;-&quot;??_ ;_ @_ ">
                  <c:v>6.4599999999999996E-3</c:v>
                </c:pt>
                <c:pt idx="3">
                  <c:v>2612.0920254037528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107.16485554749995</c:v>
                </c:pt>
                <c:pt idx="1">
                  <c:v>251.28478799742803</c:v>
                </c:pt>
                <c:pt idx="2">
                  <c:v>69.100623752500027</c:v>
                </c:pt>
                <c:pt idx="3">
                  <c:v>294.88186034756188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34.621516450000001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4003.428504558085</c:v>
                </c:pt>
                <c:pt idx="1">
                  <c:v>722.43212764498992</c:v>
                </c:pt>
                <c:pt idx="2">
                  <c:v>327.09378763625386</c:v>
                </c:pt>
                <c:pt idx="3">
                  <c:v>34.621516450000001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5415168"/>
        <c:axId val="145419648"/>
      </c:barChart>
      <c:catAx>
        <c:axId val="1454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45419648"/>
        <c:crosses val="autoZero"/>
        <c:auto val="1"/>
        <c:lblAlgn val="ctr"/>
        <c:lblOffset val="100"/>
        <c:noMultiLvlLbl val="0"/>
      </c:catAx>
      <c:valAx>
        <c:axId val="14541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4541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AREQUIPA</c:v>
                </c:pt>
                <c:pt idx="4">
                  <c:v>JUNIN</c:v>
                </c:pt>
                <c:pt idx="5">
                  <c:v>PIURA</c:v>
                </c:pt>
                <c:pt idx="6">
                  <c:v>ICA</c:v>
                </c:pt>
                <c:pt idx="7">
                  <c:v>MOQUEGUA</c:v>
                </c:pt>
                <c:pt idx="8">
                  <c:v>CUSCO</c:v>
                </c:pt>
                <c:pt idx="9">
                  <c:v>ANCASH</c:v>
                </c:pt>
                <c:pt idx="10">
                  <c:v>CAJAMARCA</c:v>
                </c:pt>
                <c:pt idx="11">
                  <c:v>LA LIBERTAD</c:v>
                </c:pt>
                <c:pt idx="12">
                  <c:v>UCAYALI</c:v>
                </c:pt>
                <c:pt idx="13">
                  <c:v>PUNO</c:v>
                </c:pt>
                <c:pt idx="14">
                  <c:v>PASCO</c:v>
                </c:pt>
                <c:pt idx="15">
                  <c:v>HUANUCO</c:v>
                </c:pt>
                <c:pt idx="16">
                  <c:v>LORETO</c:v>
                </c:pt>
                <c:pt idx="17">
                  <c:v>LAMBAYEQUE</c:v>
                </c:pt>
                <c:pt idx="18">
                  <c:v>TACNA</c:v>
                </c:pt>
                <c:pt idx="19">
                  <c:v>SAN MARTÍN</c:v>
                </c:pt>
                <c:pt idx="20">
                  <c:v>APURIMAC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2636.0720423289958</c:v>
                </c:pt>
                <c:pt idx="1">
                  <c:v>645.42335562416747</c:v>
                </c:pt>
                <c:pt idx="2">
                  <c:v>323.59950823492414</c:v>
                </c:pt>
                <c:pt idx="3">
                  <c:v>239.92896804159963</c:v>
                </c:pt>
                <c:pt idx="4">
                  <c:v>171.61252515499982</c:v>
                </c:pt>
                <c:pt idx="5">
                  <c:v>156.45701296737678</c:v>
                </c:pt>
                <c:pt idx="6">
                  <c:v>153.79632428583326</c:v>
                </c:pt>
                <c:pt idx="7">
                  <c:v>147.40195852613272</c:v>
                </c:pt>
                <c:pt idx="8">
                  <c:v>122.26114177153664</c:v>
                </c:pt>
                <c:pt idx="9">
                  <c:v>91.511309462557094</c:v>
                </c:pt>
                <c:pt idx="10">
                  <c:v>79.926256412500038</c:v>
                </c:pt>
                <c:pt idx="11">
                  <c:v>72.56264729268581</c:v>
                </c:pt>
                <c:pt idx="12">
                  <c:v>47.124280210757533</c:v>
                </c:pt>
                <c:pt idx="13">
                  <c:v>46.403766522499986</c:v>
                </c:pt>
                <c:pt idx="14">
                  <c:v>46.366567154183144</c:v>
                </c:pt>
                <c:pt idx="15">
                  <c:v>41.718916387500016</c:v>
                </c:pt>
                <c:pt idx="16">
                  <c:v>34.621516450000001</c:v>
                </c:pt>
                <c:pt idx="17">
                  <c:v>9.5717265772714892</c:v>
                </c:pt>
                <c:pt idx="18">
                  <c:v>8.336188917500003</c:v>
                </c:pt>
                <c:pt idx="19">
                  <c:v>4.3699097164197562</c:v>
                </c:pt>
                <c:pt idx="20">
                  <c:v>3.1363598333333336</c:v>
                </c:pt>
                <c:pt idx="21">
                  <c:v>3.1056866699999999</c:v>
                </c:pt>
                <c:pt idx="22">
                  <c:v>1.1005480000000001</c:v>
                </c:pt>
                <c:pt idx="23">
                  <c:v>1.0218631065544406</c:v>
                </c:pt>
                <c:pt idx="24">
                  <c:v>0.14555664000000001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45453440"/>
        <c:axId val="145454976"/>
      </c:barChart>
      <c:catAx>
        <c:axId val="1454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45454976"/>
        <c:crosses val="autoZero"/>
        <c:auto val="1"/>
        <c:lblAlgn val="ctr"/>
        <c:lblOffset val="100"/>
        <c:noMultiLvlLbl val="0"/>
      </c:catAx>
      <c:valAx>
        <c:axId val="145454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454534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146.05518484680593</c:v>
                </c:pt>
                <c:pt idx="1">
                  <c:v>143.78783216719262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4834.6317836199978</c:v>
                </c:pt>
                <c:pt idx="1">
                  <c:v>4943.7881041221372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8043776"/>
        <c:axId val="268045696"/>
        <c:axId val="194606400"/>
      </c:bar3DChart>
      <c:catAx>
        <c:axId val="2680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8045696"/>
        <c:crosses val="autoZero"/>
        <c:auto val="1"/>
        <c:lblAlgn val="ctr"/>
        <c:lblOffset val="100"/>
        <c:noMultiLvlLbl val="0"/>
      </c:catAx>
      <c:valAx>
        <c:axId val="26804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8043776"/>
        <c:crosses val="autoZero"/>
        <c:crossBetween val="between"/>
      </c:valAx>
      <c:serAx>
        <c:axId val="194606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804569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1960.4535676624998</c:v>
                </c:pt>
                <c:pt idx="1">
                  <c:v>1666.0889809484825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2616.8153598468057</c:v>
                </c:pt>
                <c:pt idx="1">
                  <c:v>3006.6642237259975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113.35232795750005</c:v>
                </c:pt>
                <c:pt idx="1">
                  <c:v>107.39533192499989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290.06571299999996</c:v>
                </c:pt>
                <c:pt idx="1">
                  <c:v>307.42739968984984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6293376"/>
        <c:axId val="408956928"/>
        <c:axId val="0"/>
      </c:bar3DChart>
      <c:catAx>
        <c:axId val="32629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8956928"/>
        <c:crosses val="autoZero"/>
        <c:auto val="1"/>
        <c:lblAlgn val="ctr"/>
        <c:lblOffset val="100"/>
        <c:noMultiLvlLbl val="0"/>
      </c:catAx>
      <c:valAx>
        <c:axId val="4089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629337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Julio</a:t>
            </a:r>
            <a:r>
              <a:rPr lang="en-US" sz="900" baseline="0"/>
              <a:t> </a:t>
            </a:r>
            <a:r>
              <a:rPr lang="en-US" sz="900"/>
              <a:t>2023 </a:t>
            </a:r>
          </a:p>
          <a:p>
            <a:pPr>
              <a:defRPr sz="900"/>
            </a:pPr>
            <a:r>
              <a:rPr lang="en-US" sz="900"/>
              <a:t>Total: 5 088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-8.7163658740545755E-3"/>
                  <c:y val="0.1363654578411662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1187816474879257E-2"/>
                  <c:y val="-0.1547813320100880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3716780347633977E-2"/>
                  <c:y val="-9.74529233319180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8583901738169884E-3"/>
                  <c:y val="-6.49686155546120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8583901738169884E-3"/>
                  <c:y val="5.41405129621766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3605714929122318"/>
                  <c:y val="-8.59465722660746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baseline="0">
                        <a:effectLst/>
                      </a:rPr>
                      <a:t>Mcdo. Elect.</a:t>
                    </a:r>
                    <a:r>
                      <a:rPr lang="en-US"/>
                      <a:t>; </a:t>
                    </a:r>
                  </a:p>
                  <a:p>
                    <a:r>
                      <a:rPr lang="en-US"/>
                      <a:t>4 944; 97%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37.294699254310245</c:v>
                </c:pt>
                <c:pt idx="1">
                  <c:v>106.14645172380607</c:v>
                </c:pt>
                <c:pt idx="2">
                  <c:v>1736.1896136191722</c:v>
                </c:pt>
                <c:pt idx="3">
                  <c:v>2950.5120904945416</c:v>
                </c:pt>
                <c:pt idx="4">
                  <c:v>257.43308119750009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4690.6212554668036</c:v>
                </c:pt>
                <c:pt idx="1">
                  <c:v>4780.1485365994795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713509826681E-2"/>
                  <c:y val="-1.1967494653608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290.06571299999996</c:v>
                </c:pt>
                <c:pt idx="1">
                  <c:v>307.42739968984984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61023488"/>
        <c:axId val="462528512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8.104241951165117E-3"/>
                  <c:y val="1.115523309952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5.8238093426957606E-2</c:v>
                </c:pt>
                <c:pt idx="1">
                  <c:v>6.042708817316933E-2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37472"/>
        <c:axId val="462530432"/>
      </c:lineChart>
      <c:catAx>
        <c:axId val="46102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2528512"/>
        <c:crosses val="autoZero"/>
        <c:auto val="1"/>
        <c:lblAlgn val="ctr"/>
        <c:lblOffset val="100"/>
        <c:noMultiLvlLbl val="1"/>
      </c:catAx>
      <c:valAx>
        <c:axId val="4625285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1023488"/>
        <c:crosses val="autoZero"/>
        <c:crossBetween val="between"/>
        <c:majorUnit val="1000"/>
      </c:valAx>
      <c:valAx>
        <c:axId val="462530432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2537472"/>
        <c:crosses val="max"/>
        <c:crossBetween val="between"/>
      </c:valAx>
      <c:catAx>
        <c:axId val="462537472"/>
        <c:scaling>
          <c:orientation val="minMax"/>
        </c:scaling>
        <c:delete val="1"/>
        <c:axPos val="b"/>
        <c:majorTickMark val="out"/>
        <c:minorTickMark val="none"/>
        <c:tickLblPos val="nextTo"/>
        <c:crossAx val="462530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6.7262475063758098E-2"/>
                  <c:y val="-0.246149057995421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8350331634660337E-2"/>
                      <c:h val="0.14274119282209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3862728013293157"/>
                  <c:y val="0.1764574531129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2073.8058956199998</c:v>
                </c:pt>
                <c:pt idx="1">
                  <c:v>2529.797231</c:v>
                </c:pt>
                <c:pt idx="2">
                  <c:v>84.717468846803968</c:v>
                </c:pt>
                <c:pt idx="4" formatCode="#,##0.00">
                  <c:v>2.3006599999999997</c:v>
                </c:pt>
                <c:pt idx="5">
                  <c:v>58.287239999999997</c:v>
                </c:pt>
                <c:pt idx="6">
                  <c:v>172.79672999999997</c:v>
                </c:pt>
                <c:pt idx="7">
                  <c:v>58.981743000000009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2023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8.7700130877651369E-2"/>
                  <c:y val="-0.176065484133649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451758928088429"/>
                  <c:y val="0.24143477167207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7.8212833603375012E-2"/>
                  <c:y val="-0.2102555802245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26034055821"/>
                  <c:y val="-2.273207837546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1773.4843128734824</c:v>
                </c:pt>
                <c:pt idx="1">
                  <c:v>2871.3367753013117</c:v>
                </c:pt>
                <c:pt idx="2">
                  <c:v>134.50804750002499</c:v>
                </c:pt>
                <c:pt idx="4" formatCode="#,##0.00">
                  <c:v>0.81940092465951386</c:v>
                </c:pt>
                <c:pt idx="5">
                  <c:v>49.994318492349748</c:v>
                </c:pt>
                <c:pt idx="6">
                  <c:v>188.34987344500004</c:v>
                </c:pt>
                <c:pt idx="7">
                  <c:v>69.08320775250003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1773.4843128734824</c:v>
                </c:pt>
                <c:pt idx="1">
                  <c:v>2871.3367753013117</c:v>
                </c:pt>
                <c:pt idx="2" formatCode="General">
                  <c:v>0</c:v>
                </c:pt>
                <c:pt idx="3">
                  <c:v>134.50804750002499</c:v>
                </c:pt>
                <c:pt idx="4">
                  <c:v>49.994318492349748</c:v>
                </c:pt>
                <c:pt idx="5">
                  <c:v>188.34987344500004</c:v>
                </c:pt>
                <c:pt idx="6">
                  <c:v>69.08320775250003</c:v>
                </c:pt>
                <c:pt idx="7">
                  <c:v>0.81940092465951386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4078336"/>
        <c:axId val="144089472"/>
      </c:barChart>
      <c:catAx>
        <c:axId val="1440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44089472"/>
        <c:crosses val="autoZero"/>
        <c:auto val="1"/>
        <c:lblAlgn val="ctr"/>
        <c:lblOffset val="100"/>
        <c:noMultiLvlLbl val="0"/>
      </c:catAx>
      <c:valAx>
        <c:axId val="14408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4407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81.185017897500089</c:v>
                </c:pt>
                <c:pt idx="1">
                  <c:v>130.86950572172233</c:v>
                </c:pt>
                <c:pt idx="2">
                  <c:v>0</c:v>
                </c:pt>
                <c:pt idx="3">
                  <c:v>115.03926401703143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409574</xdr:colOff>
      <xdr:row>5</xdr:row>
      <xdr:rowOff>9525</xdr:rowOff>
    </xdr:from>
    <xdr:to>
      <xdr:col>14</xdr:col>
      <xdr:colOff>181840</xdr:colOff>
      <xdr:row>18</xdr:row>
      <xdr:rowOff>25977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julio 2023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65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2023 vs 2022</a:t>
          </a:r>
          <a:endParaRPr lang="es-PE" sz="900" b="1"/>
        </a:p>
      </xdr:txBody>
    </xdr:sp>
    <xdr:clientData/>
  </xdr:twoCellAnchor>
  <xdr:twoCellAnchor>
    <xdr:from>
      <xdr:col>2</xdr:col>
      <xdr:colOff>44450</xdr:colOff>
      <xdr:row>63</xdr:row>
      <xdr:rowOff>23814</xdr:rowOff>
    </xdr:from>
    <xdr:to>
      <xdr:col>8</xdr:col>
      <xdr:colOff>174624</xdr:colOff>
      <xdr:row>71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107578</xdr:rowOff>
    </xdr:from>
    <xdr:to>
      <xdr:col>10</xdr:col>
      <xdr:colOff>192088</xdr:colOff>
      <xdr:row>20</xdr:row>
      <xdr:rowOff>83214</xdr:rowOff>
    </xdr:to>
    <xdr:grpSp>
      <xdr:nvGrpSpPr>
        <xdr:cNvPr id="16" name="15 Grupo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926323" y="954245"/>
          <a:ext cx="6695265" cy="2441552"/>
          <a:chOff x="936906" y="956891"/>
          <a:chExt cx="6692620" cy="2444198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936906" y="956891"/>
          <a:ext cx="6692620" cy="1996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=""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=""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9606" y="3291296"/>
          <a:ext cx="4016169" cy="5497284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=""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=""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=""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=""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=""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=""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3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view="pageBreakPreview" zoomScale="110" zoomScaleNormal="100" zoomScaleSheetLayoutView="110" workbookViewId="0">
      <selection activeCell="N35" sqref="N35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20" ht="15">
      <c r="B2" s="1" t="s">
        <v>128</v>
      </c>
      <c r="C2" s="2"/>
      <c r="D2" s="1"/>
      <c r="E2" s="1"/>
      <c r="F2" s="1"/>
      <c r="G2" s="1"/>
      <c r="H2" s="1"/>
      <c r="I2" s="1"/>
      <c r="J2" s="1"/>
      <c r="K2" s="1"/>
    </row>
    <row r="3" spans="2:20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20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20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20">
      <c r="C6" s="5" t="s">
        <v>113</v>
      </c>
    </row>
    <row r="8" spans="2:20">
      <c r="C8" s="69"/>
      <c r="D8" s="69"/>
      <c r="E8" s="69"/>
      <c r="F8" s="69"/>
      <c r="G8" s="69"/>
    </row>
    <row r="9" spans="2:20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20" ht="13.5" thickBot="1">
      <c r="C10" s="155" t="s">
        <v>63</v>
      </c>
      <c r="D10" s="156"/>
      <c r="E10" s="157"/>
      <c r="F10" s="158"/>
      <c r="G10" s="159"/>
    </row>
    <row r="11" spans="2:20" ht="13.5" thickTop="1">
      <c r="C11" s="69"/>
      <c r="D11" s="106"/>
      <c r="E11" s="107"/>
      <c r="F11" s="108"/>
      <c r="G11" s="109"/>
      <c r="Q11" s="339" t="s">
        <v>64</v>
      </c>
      <c r="R11" s="41" t="s">
        <v>41</v>
      </c>
      <c r="S11" s="54">
        <f>E12</f>
        <v>37.294699254310245</v>
      </c>
    </row>
    <row r="12" spans="2:20">
      <c r="C12" s="110" t="s">
        <v>66</v>
      </c>
      <c r="D12" s="111">
        <v>1736.1896136191722</v>
      </c>
      <c r="E12" s="112">
        <v>37.294699254310245</v>
      </c>
      <c r="F12" s="113">
        <f>SUM(D12:E12)</f>
        <v>1773.4843128734824</v>
      </c>
      <c r="G12" s="306">
        <f>(F12/F$16)-0.001</f>
        <v>0.34759122204414489</v>
      </c>
      <c r="Q12" s="339"/>
      <c r="R12" s="41" t="s">
        <v>73</v>
      </c>
      <c r="S12" s="54">
        <f>E13</f>
        <v>106.14645172380607</v>
      </c>
    </row>
    <row r="13" spans="2:20">
      <c r="C13" s="110" t="s">
        <v>65</v>
      </c>
      <c r="D13" s="111">
        <v>2950.5120904945416</v>
      </c>
      <c r="E13" s="112">
        <v>106.14645172380607</v>
      </c>
      <c r="F13" s="113">
        <f>SUM(D13:E13)</f>
        <v>3056.6585422183475</v>
      </c>
      <c r="G13" s="306">
        <f>(F13/F$16)</f>
        <v>0.6008084361779078</v>
      </c>
      <c r="Q13" s="339" t="s">
        <v>88</v>
      </c>
      <c r="R13" s="41" t="s">
        <v>41</v>
      </c>
      <c r="S13" s="54">
        <f>D12</f>
        <v>1736.1896136191722</v>
      </c>
      <c r="T13">
        <f>SUM(S13:S15)/SUM(S$11:S$15)</f>
        <v>0.97180559999999983</v>
      </c>
    </row>
    <row r="14" spans="2:20">
      <c r="C14" s="110" t="s">
        <v>67</v>
      </c>
      <c r="D14" s="111">
        <v>188.34987344500004</v>
      </c>
      <c r="E14" s="114"/>
      <c r="F14" s="113">
        <f>SUM(D14:E14)</f>
        <v>188.34987344500004</v>
      </c>
      <c r="G14" s="306">
        <f>(F14/F$16)</f>
        <v>3.702153556107405E-2</v>
      </c>
      <c r="Q14" s="339"/>
      <c r="R14" s="41" t="s">
        <v>73</v>
      </c>
      <c r="S14" s="54">
        <f>D13</f>
        <v>2950.5120904945416</v>
      </c>
      <c r="T14">
        <f t="shared" ref="T14:T15" si="0">SUM(S14:S16)/SUM(S$11:S$15)</f>
        <v>0.6305449219558551</v>
      </c>
    </row>
    <row r="15" spans="2:20" ht="13.5" thickBot="1">
      <c r="C15" s="115" t="s">
        <v>5</v>
      </c>
      <c r="D15" s="116">
        <v>69.08320775250003</v>
      </c>
      <c r="E15" s="117"/>
      <c r="F15" s="118">
        <f>SUM(D15:E15)</f>
        <v>69.08320775250003</v>
      </c>
      <c r="G15" s="307">
        <f>(F15/F$16)</f>
        <v>1.3578806216873195E-2</v>
      </c>
      <c r="Q15" s="339"/>
      <c r="R15" s="41" t="s">
        <v>87</v>
      </c>
      <c r="S15" s="54">
        <f>SUM(D14:D15)</f>
        <v>257.43308119750009</v>
      </c>
      <c r="T15">
        <f t="shared" si="0"/>
        <v>5.0600341777947255E-2</v>
      </c>
    </row>
    <row r="16" spans="2:20" ht="13.5" thickTop="1">
      <c r="C16" s="210" t="s">
        <v>71</v>
      </c>
      <c r="D16" s="211">
        <f>SUM(D12:D15)</f>
        <v>4944.1347853112138</v>
      </c>
      <c r="E16" s="212">
        <f>SUM(E12:E15)</f>
        <v>143.4411509781163</v>
      </c>
      <c r="F16" s="213">
        <f>SUM(F12:F15)</f>
        <v>5087.5759362893305</v>
      </c>
      <c r="G16" s="214"/>
    </row>
    <row r="17" spans="3:19">
      <c r="C17" s="215" t="s">
        <v>109</v>
      </c>
      <c r="D17" s="270">
        <f>D16/F16+0.001</f>
        <v>0.97280559999999983</v>
      </c>
      <c r="E17" s="271">
        <f>E16/F16-0.001</f>
        <v>2.7194400000000077E-2</v>
      </c>
      <c r="F17" s="216"/>
      <c r="G17" s="217"/>
    </row>
    <row r="18" spans="3:19">
      <c r="C18" s="69"/>
      <c r="D18" s="69"/>
      <c r="E18" s="69"/>
      <c r="F18" s="69"/>
      <c r="G18" s="69"/>
    </row>
    <row r="20" spans="3:19">
      <c r="C20" s="5" t="s">
        <v>121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46" t="s">
        <v>112</v>
      </c>
      <c r="D23" s="347"/>
      <c r="E23" s="340" t="s">
        <v>129</v>
      </c>
      <c r="F23" s="341"/>
      <c r="G23" s="122" t="s">
        <v>74</v>
      </c>
      <c r="H23" s="344" t="s">
        <v>130</v>
      </c>
      <c r="I23" s="345"/>
      <c r="J23" s="122" t="s">
        <v>74</v>
      </c>
      <c r="Q23" s="41"/>
      <c r="R23" s="41">
        <v>2022</v>
      </c>
      <c r="S23" s="41">
        <v>2023</v>
      </c>
    </row>
    <row r="24" spans="3:19" ht="12.75" customHeight="1">
      <c r="C24" s="123"/>
      <c r="D24" s="124"/>
      <c r="E24" s="125">
        <v>2022</v>
      </c>
      <c r="F24" s="126">
        <v>2023</v>
      </c>
      <c r="G24" s="127"/>
      <c r="H24" s="200">
        <v>2022</v>
      </c>
      <c r="I24" s="126">
        <v>2023</v>
      </c>
      <c r="J24" s="127"/>
      <c r="Q24" s="41" t="s">
        <v>76</v>
      </c>
      <c r="R24" s="54">
        <f>E29</f>
        <v>146.05518484680593</v>
      </c>
      <c r="S24" s="54">
        <f>F29</f>
        <v>143.78783216719262</v>
      </c>
    </row>
    <row r="25" spans="3:19">
      <c r="C25" s="335" t="s">
        <v>0</v>
      </c>
      <c r="D25" s="336"/>
      <c r="E25" s="160">
        <f>SUM(E26:E28)</f>
        <v>4834.6317836199978</v>
      </c>
      <c r="F25" s="161">
        <f>SUM(F26:F28)</f>
        <v>4943.7881041221372</v>
      </c>
      <c r="G25" s="162">
        <f>((F25/E25)-1)</f>
        <v>2.2578000846303681E-2</v>
      </c>
      <c r="H25" s="201">
        <f>SUM(H26:H28)</f>
        <v>33099.989001079994</v>
      </c>
      <c r="I25" s="161">
        <f>SUM(I26:I28)</f>
        <v>34856.560199623891</v>
      </c>
      <c r="J25" s="162">
        <f>((I25/H25)-1)</f>
        <v>5.3068633904578721E-2</v>
      </c>
      <c r="Q25" s="41" t="s">
        <v>0</v>
      </c>
      <c r="R25" s="54">
        <f>E25</f>
        <v>4834.6317836199978</v>
      </c>
      <c r="S25" s="54">
        <f>F25</f>
        <v>4943.7881041221372</v>
      </c>
    </row>
    <row r="26" spans="3:19">
      <c r="C26" s="228" t="s">
        <v>62</v>
      </c>
      <c r="D26" s="237" t="s">
        <v>102</v>
      </c>
      <c r="E26" s="113">
        <v>4697.3535506199978</v>
      </c>
      <c r="F26" s="129">
        <v>4805.6990113224992</v>
      </c>
      <c r="G26" s="130">
        <f t="shared" ref="G26:G32" si="1">((F26/E26)-1)</f>
        <v>2.3065213110944338E-2</v>
      </c>
      <c r="H26" s="202">
        <v>31993.458983079996</v>
      </c>
      <c r="I26" s="129">
        <v>33824.601763477505</v>
      </c>
      <c r="J26" s="130">
        <f t="shared" ref="J26:J32" si="2">((I26/H26)-1)</f>
        <v>5.7234911091230467E-2</v>
      </c>
    </row>
    <row r="27" spans="3:19">
      <c r="C27" s="229" t="s">
        <v>106</v>
      </c>
      <c r="D27" s="238" t="s">
        <v>77</v>
      </c>
      <c r="E27" s="231">
        <v>96.967393000000058</v>
      </c>
      <c r="F27" s="232">
        <v>100.29559217881599</v>
      </c>
      <c r="G27" s="240">
        <f t="shared" si="1"/>
        <v>3.4322869532193545E-2</v>
      </c>
      <c r="H27" s="233">
        <v>795.35664300000008</v>
      </c>
      <c r="I27" s="232">
        <v>747.91092249828705</v>
      </c>
      <c r="J27" s="240">
        <f t="shared" si="2"/>
        <v>-5.9653390613238377E-2</v>
      </c>
    </row>
    <row r="28" spans="3:19">
      <c r="C28" s="230" t="s">
        <v>64</v>
      </c>
      <c r="D28" s="239" t="s">
        <v>77</v>
      </c>
      <c r="E28" s="113">
        <v>40.310840000000013</v>
      </c>
      <c r="F28" s="129">
        <v>37.793500620822144</v>
      </c>
      <c r="G28" s="130">
        <f t="shared" si="1"/>
        <v>-6.244819952096925E-2</v>
      </c>
      <c r="H28" s="202">
        <v>311.17337500000002</v>
      </c>
      <c r="I28" s="129">
        <v>284.04751364809493</v>
      </c>
      <c r="J28" s="130">
        <f t="shared" si="2"/>
        <v>-8.7172822391713534E-2</v>
      </c>
    </row>
    <row r="29" spans="3:19">
      <c r="C29" s="335" t="s">
        <v>76</v>
      </c>
      <c r="D29" s="336"/>
      <c r="E29" s="160">
        <f>SUM(E30:E31)</f>
        <v>146.05518484680593</v>
      </c>
      <c r="F29" s="161">
        <f>SUM(F30:F31)</f>
        <v>143.78783216719262</v>
      </c>
      <c r="G29" s="162">
        <f t="shared" si="1"/>
        <v>-1.5523945158068098E-2</v>
      </c>
      <c r="H29" s="201">
        <f>SUM(H30:H31)</f>
        <v>1134.502380777983</v>
      </c>
      <c r="I29" s="161">
        <f>SUM(I30:I31)</f>
        <v>1109.5464622645811</v>
      </c>
      <c r="J29" s="162">
        <f t="shared" si="2"/>
        <v>-2.1997237675507098E-2</v>
      </c>
      <c r="Q29" s="41"/>
      <c r="R29" s="41"/>
      <c r="S29" s="41"/>
    </row>
    <row r="30" spans="3:19">
      <c r="C30" s="234" t="s">
        <v>68</v>
      </c>
      <c r="D30" s="124"/>
      <c r="E30" s="113">
        <v>41.19820099999999</v>
      </c>
      <c r="F30" s="129">
        <v>38.140181809898451</v>
      </c>
      <c r="G30" s="130">
        <f t="shared" si="1"/>
        <v>-7.4227007875939499E-2</v>
      </c>
      <c r="H30" s="202">
        <v>285.41538299999996</v>
      </c>
      <c r="I30" s="129">
        <v>281.10533756007129</v>
      </c>
      <c r="J30" s="130">
        <f t="shared" si="2"/>
        <v>-1.5100957049426711E-2</v>
      </c>
    </row>
    <row r="31" spans="3:19" ht="13.5" thickBot="1">
      <c r="C31" s="235" t="s">
        <v>64</v>
      </c>
      <c r="D31" s="236"/>
      <c r="E31" s="118">
        <v>104.85698384680593</v>
      </c>
      <c r="F31" s="132">
        <v>105.64765035729417</v>
      </c>
      <c r="G31" s="133">
        <f t="shared" si="1"/>
        <v>7.5404277472197467E-3</v>
      </c>
      <c r="H31" s="203">
        <v>849.08699777798313</v>
      </c>
      <c r="I31" s="132">
        <v>828.44112470450978</v>
      </c>
      <c r="J31" s="133">
        <f t="shared" si="2"/>
        <v>-2.431538008178491E-2</v>
      </c>
    </row>
    <row r="32" spans="3:19" ht="14.25" thickTop="1" thickBot="1">
      <c r="C32" s="330" t="s">
        <v>108</v>
      </c>
      <c r="D32" s="331"/>
      <c r="E32" s="163">
        <f>SUM(E25,E29)</f>
        <v>4980.6869684668036</v>
      </c>
      <c r="F32" s="164">
        <f>SUM(F25,F29)</f>
        <v>5087.5759362893295</v>
      </c>
      <c r="G32" s="165">
        <f t="shared" si="1"/>
        <v>2.1460687752362206E-2</v>
      </c>
      <c r="H32" s="204">
        <f>SUM(H25,H29)</f>
        <v>34234.491381857973</v>
      </c>
      <c r="I32" s="164">
        <f>SUM(I25,I29)</f>
        <v>35966.106661888472</v>
      </c>
      <c r="J32" s="165">
        <f t="shared" si="2"/>
        <v>5.0581013771045624E-2</v>
      </c>
    </row>
    <row r="33" spans="3:19">
      <c r="C33" s="265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323"/>
    </row>
    <row r="35" spans="3:19">
      <c r="C35" s="5" t="s">
        <v>122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40" t="s">
        <v>129</v>
      </c>
      <c r="F38" s="341"/>
      <c r="G38" s="342" t="s">
        <v>74</v>
      </c>
      <c r="H38" s="344" t="s">
        <v>130</v>
      </c>
      <c r="I38" s="345"/>
      <c r="J38" s="342" t="s">
        <v>74</v>
      </c>
      <c r="Q38" s="41"/>
      <c r="R38" s="41">
        <v>2022</v>
      </c>
      <c r="S38" s="41">
        <v>2023</v>
      </c>
    </row>
    <row r="39" spans="3:19" ht="12.75" customHeight="1">
      <c r="C39" s="123" t="s">
        <v>75</v>
      </c>
      <c r="D39" s="124"/>
      <c r="E39" s="125">
        <v>2022</v>
      </c>
      <c r="F39" s="126">
        <v>2023</v>
      </c>
      <c r="G39" s="343"/>
      <c r="H39" s="200">
        <v>2022</v>
      </c>
      <c r="I39" s="126">
        <v>2023</v>
      </c>
      <c r="J39" s="343"/>
      <c r="Q39" s="41" t="s">
        <v>66</v>
      </c>
      <c r="R39" s="54">
        <f>SUM(E41,E46)</f>
        <v>2073.8058956199998</v>
      </c>
      <c r="S39" s="54">
        <f>SUM(F41,F46)</f>
        <v>1773.4843128734824</v>
      </c>
    </row>
    <row r="40" spans="3:19">
      <c r="C40" s="335" t="s">
        <v>68</v>
      </c>
      <c r="D40" s="336"/>
      <c r="E40" s="160">
        <f>SUM(E41:E44)</f>
        <v>4835.5191446199997</v>
      </c>
      <c r="F40" s="161">
        <f>SUM(F41:F44)</f>
        <v>4944.1347853112138</v>
      </c>
      <c r="G40" s="162">
        <f>((F40/E40)-1)</f>
        <v>2.2462043359307016E-2</v>
      </c>
      <c r="H40" s="201">
        <f>SUM(H41:H44)</f>
        <v>33074.231009079987</v>
      </c>
      <c r="I40" s="161">
        <f>SUM(I41:I44)</f>
        <v>34853.618023535855</v>
      </c>
      <c r="J40" s="162">
        <f>((I40/H40)-1)</f>
        <v>5.3799800030645217E-2</v>
      </c>
      <c r="Q40" s="41" t="s">
        <v>65</v>
      </c>
      <c r="R40" s="54">
        <f>SUM(E42,E47)</f>
        <v>2675.1025998468058</v>
      </c>
      <c r="S40" s="54">
        <f>SUM(F42,F47)</f>
        <v>3056.6585422183475</v>
      </c>
    </row>
    <row r="41" spans="3:19">
      <c r="C41" s="128" t="s">
        <v>66</v>
      </c>
      <c r="D41" s="69"/>
      <c r="E41" s="113">
        <v>2031.9088426199999</v>
      </c>
      <c r="F41" s="129">
        <f>D12</f>
        <v>1736.1896136191722</v>
      </c>
      <c r="G41" s="130">
        <f t="shared" ref="G41:G48" si="3">((F41/E41)-1)</f>
        <v>-0.14553764558626514</v>
      </c>
      <c r="H41" s="202">
        <v>19321.324761079992</v>
      </c>
      <c r="I41" s="129">
        <v>17749.32803086131</v>
      </c>
      <c r="J41" s="130">
        <f t="shared" ref="J41:J48" si="4">((I41/H41)-1)</f>
        <v>-8.1360711527671326E-2</v>
      </c>
      <c r="Q41" s="41" t="s">
        <v>67</v>
      </c>
      <c r="R41" s="54">
        <f>E43</f>
        <v>172.79672999999997</v>
      </c>
      <c r="S41" s="54">
        <f>F43</f>
        <v>188.34987344500004</v>
      </c>
    </row>
    <row r="42" spans="3:19">
      <c r="C42" s="128" t="s">
        <v>65</v>
      </c>
      <c r="D42" s="69"/>
      <c r="E42" s="113">
        <v>2571.8318289999997</v>
      </c>
      <c r="F42" s="129">
        <f>D13</f>
        <v>2950.5120904945416</v>
      </c>
      <c r="G42" s="130">
        <f t="shared" si="3"/>
        <v>0.14724145537999012</v>
      </c>
      <c r="H42" s="202">
        <v>12216.850203999998</v>
      </c>
      <c r="I42" s="129">
        <v>15489.62896080704</v>
      </c>
      <c r="J42" s="130">
        <f t="shared" si="4"/>
        <v>0.26789055297866216</v>
      </c>
      <c r="Q42" s="41" t="s">
        <v>5</v>
      </c>
      <c r="R42" s="54">
        <f>E44</f>
        <v>58.981743000000009</v>
      </c>
      <c r="S42" s="54">
        <f>F44</f>
        <v>69.08320775250003</v>
      </c>
    </row>
    <row r="43" spans="3:19">
      <c r="C43" s="128" t="s">
        <v>67</v>
      </c>
      <c r="D43" s="69"/>
      <c r="E43" s="113">
        <v>172.79672999999997</v>
      </c>
      <c r="F43" s="129">
        <f>D14</f>
        <v>188.34987344500004</v>
      </c>
      <c r="G43" s="130">
        <f t="shared" si="3"/>
        <v>9.000832044101803E-2</v>
      </c>
      <c r="H43" s="202">
        <v>1097.027229</v>
      </c>
      <c r="I43" s="129">
        <v>1176.8174043000001</v>
      </c>
      <c r="J43" s="130">
        <f t="shared" si="4"/>
        <v>7.2733085552245669E-2</v>
      </c>
    </row>
    <row r="44" spans="3:19">
      <c r="C44" s="128" t="s">
        <v>5</v>
      </c>
      <c r="D44" s="69"/>
      <c r="E44" s="113">
        <v>58.981743000000009</v>
      </c>
      <c r="F44" s="129">
        <f>D15</f>
        <v>69.08320775250003</v>
      </c>
      <c r="G44" s="317">
        <f t="shared" si="3"/>
        <v>0.17126426312121734</v>
      </c>
      <c r="H44" s="202">
        <v>439.02881499999995</v>
      </c>
      <c r="I44" s="129">
        <v>437.84362756749999</v>
      </c>
      <c r="J44" s="130">
        <f t="shared" si="4"/>
        <v>-2.6995663883701004E-3</v>
      </c>
      <c r="Q44" s="41"/>
      <c r="R44" s="41"/>
      <c r="S44" s="41"/>
    </row>
    <row r="45" spans="3:19">
      <c r="C45" s="335" t="s">
        <v>64</v>
      </c>
      <c r="D45" s="336"/>
      <c r="E45" s="160">
        <f>SUM(E46:E47)</f>
        <v>145.1678238468059</v>
      </c>
      <c r="F45" s="161">
        <f>SUM(F46:F47)</f>
        <v>143.4411509781163</v>
      </c>
      <c r="G45" s="162">
        <f t="shared" si="3"/>
        <v>-1.1894322191615569E-2</v>
      </c>
      <c r="H45" s="201">
        <f>SUM(H46:H47)</f>
        <v>1160.2603727779829</v>
      </c>
      <c r="I45" s="161">
        <f>SUM(I46:I47)</f>
        <v>1112.4886383526045</v>
      </c>
      <c r="J45" s="162">
        <f t="shared" si="4"/>
        <v>-4.1173287950013848E-2</v>
      </c>
    </row>
    <row r="46" spans="3:19">
      <c r="C46" s="128" t="s">
        <v>66</v>
      </c>
      <c r="D46" s="69"/>
      <c r="E46" s="113">
        <v>41.897052999999993</v>
      </c>
      <c r="F46" s="129">
        <f>E12</f>
        <v>37.294699254310245</v>
      </c>
      <c r="G46" s="130">
        <f t="shared" si="3"/>
        <v>-0.10984910431981332</v>
      </c>
      <c r="H46" s="202">
        <v>376.29884604648726</v>
      </c>
      <c r="I46" s="129">
        <v>338.22064322292772</v>
      </c>
      <c r="J46" s="130">
        <f t="shared" si="4"/>
        <v>-0.10119138876884948</v>
      </c>
    </row>
    <row r="47" spans="3:19" ht="13.5" thickBot="1">
      <c r="C47" s="131" t="s">
        <v>65</v>
      </c>
      <c r="D47" s="69"/>
      <c r="E47" s="118">
        <v>103.2707708468059</v>
      </c>
      <c r="F47" s="132">
        <f>E13</f>
        <v>106.14645172380607</v>
      </c>
      <c r="G47" s="133">
        <f t="shared" si="3"/>
        <v>2.7846028972379866E-2</v>
      </c>
      <c r="H47" s="203">
        <v>783.96152673149561</v>
      </c>
      <c r="I47" s="132">
        <v>774.26799512967693</v>
      </c>
      <c r="J47" s="316">
        <f t="shared" si="4"/>
        <v>-1.2364805250371314E-2</v>
      </c>
    </row>
    <row r="48" spans="3:19" ht="14.25" thickTop="1" thickBot="1">
      <c r="C48" s="330" t="s">
        <v>108</v>
      </c>
      <c r="D48" s="331"/>
      <c r="E48" s="163">
        <f>SUM(E40,E45)</f>
        <v>4980.6869684668054</v>
      </c>
      <c r="F48" s="164">
        <f>SUM(F40,F45)</f>
        <v>5087.5759362893305</v>
      </c>
      <c r="G48" s="165">
        <f t="shared" si="3"/>
        <v>2.1460687752361984E-2</v>
      </c>
      <c r="H48" s="204">
        <f>SUM(H40,H45)</f>
        <v>34234.491381857973</v>
      </c>
      <c r="I48" s="164">
        <f>SUM(I40,I45)</f>
        <v>35966.106661888458</v>
      </c>
      <c r="J48" s="165">
        <f t="shared" si="4"/>
        <v>5.058101377104518E-2</v>
      </c>
    </row>
    <row r="49" spans="3:23">
      <c r="C49" s="226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123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40" t="s">
        <v>129</v>
      </c>
      <c r="F54" s="341"/>
      <c r="G54" s="342" t="s">
        <v>74</v>
      </c>
      <c r="H54" s="344" t="s">
        <v>130</v>
      </c>
      <c r="I54" s="345"/>
      <c r="J54" s="342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2022</v>
      </c>
      <c r="F55" s="126">
        <v>2023</v>
      </c>
      <c r="G55" s="343"/>
      <c r="H55" s="200">
        <v>2022</v>
      </c>
      <c r="I55" s="126">
        <v>2023</v>
      </c>
      <c r="J55" s="343"/>
      <c r="L55" s="36"/>
      <c r="M55" s="36"/>
    </row>
    <row r="56" spans="3:23">
      <c r="C56" s="335" t="s">
        <v>68</v>
      </c>
      <c r="D56" s="336"/>
      <c r="E56" s="160">
        <f>SUM(E57:E60)</f>
        <v>4835.5191446199997</v>
      </c>
      <c r="F56" s="161">
        <f>SUM(F57:F60)</f>
        <v>4944.1347853112129</v>
      </c>
      <c r="G56" s="162">
        <f>((F56/E56)-1)</f>
        <v>2.2462043359307016E-2</v>
      </c>
      <c r="H56" s="201">
        <f>SUM(H57:H60)</f>
        <v>33074.231009079987</v>
      </c>
      <c r="I56" s="161">
        <f>SUM(I57:I60)</f>
        <v>34853.618023535855</v>
      </c>
      <c r="J56" s="162">
        <f>((I56/H56)-1)</f>
        <v>5.3799800030645217E-2</v>
      </c>
    </row>
    <row r="57" spans="3:23" ht="25.5">
      <c r="C57" s="333" t="s">
        <v>78</v>
      </c>
      <c r="D57" s="241" t="s">
        <v>79</v>
      </c>
      <c r="E57" s="275">
        <f>SUM(E43:E44)+34.946844</f>
        <v>266.72531699999996</v>
      </c>
      <c r="F57" s="276">
        <f>SUM(F43:F44)+31.6387930981607</f>
        <v>289.07187429566079</v>
      </c>
      <c r="G57" s="140">
        <f t="shared" ref="G57:G65" si="5">((F57/E57)-1)</f>
        <v>8.3781163134434733E-2</v>
      </c>
      <c r="H57" s="218">
        <f>SUM(H43:H44)+175.014253</f>
        <v>1711.070297</v>
      </c>
      <c r="I57" s="276">
        <f>SUM(I43:I44)+165.625053505661</f>
        <v>1780.2860853731613</v>
      </c>
      <c r="J57" s="140">
        <f t="shared" ref="J57:J65" si="6">((I57/H57)-1)</f>
        <v>4.0451750284320021E-2</v>
      </c>
      <c r="L57" s="36"/>
      <c r="Q57" s="41"/>
      <c r="R57" s="41"/>
      <c r="T57" s="41">
        <v>2022</v>
      </c>
      <c r="U57" s="41">
        <v>2023</v>
      </c>
      <c r="V57" s="41"/>
      <c r="W57" s="41"/>
    </row>
    <row r="58" spans="3:23" ht="13.5">
      <c r="C58" s="334"/>
      <c r="D58" s="242" t="s">
        <v>110</v>
      </c>
      <c r="E58" s="231">
        <v>113.35232795750005</v>
      </c>
      <c r="F58" s="279">
        <v>107.39533192499989</v>
      </c>
      <c r="G58" s="240">
        <f t="shared" si="5"/>
        <v>-5.2552921848536327E-2</v>
      </c>
      <c r="H58" s="233">
        <v>1384.3004301425008</v>
      </c>
      <c r="I58" s="232">
        <v>1378.4095391024991</v>
      </c>
      <c r="J58" s="325">
        <f t="shared" si="6"/>
        <v>-4.2555004041970879E-3</v>
      </c>
      <c r="L58" s="36"/>
      <c r="M58" s="36"/>
      <c r="Q58" s="339" t="s">
        <v>80</v>
      </c>
      <c r="R58" s="41" t="s">
        <v>66</v>
      </c>
      <c r="T58" s="54">
        <f>SUM(E60,E64)</f>
        <v>1960.4535676624998</v>
      </c>
      <c r="U58" s="54">
        <f>SUM(F60,F64)</f>
        <v>1666.0889809484825</v>
      </c>
      <c r="V58" s="119">
        <f t="shared" ref="V58:W61" si="7">T58/T$64</f>
        <v>0.39361107816538454</v>
      </c>
      <c r="W58" s="119">
        <f t="shared" si="7"/>
        <v>0.32748188957031271</v>
      </c>
    </row>
    <row r="59" spans="3:23">
      <c r="C59" s="332" t="s">
        <v>80</v>
      </c>
      <c r="D59" s="243" t="s">
        <v>81</v>
      </c>
      <c r="E59" s="113">
        <f>SUM(E42:E44)-E57</f>
        <v>2536.8849849999997</v>
      </c>
      <c r="F59" s="129">
        <f>SUM(F42:F44)-F57</f>
        <v>2918.8732973963806</v>
      </c>
      <c r="G59" s="130">
        <f t="shared" si="5"/>
        <v>0.1505737605981301</v>
      </c>
      <c r="H59" s="202">
        <f>SUM(H42:H44)-H57</f>
        <v>12041.835950999997</v>
      </c>
      <c r="I59" s="129">
        <f>SUM(I42:I44)-I57</f>
        <v>15324.00390730138</v>
      </c>
      <c r="J59" s="130">
        <f t="shared" si="6"/>
        <v>0.27256374938647276</v>
      </c>
      <c r="Q59" s="339"/>
      <c r="R59" s="41" t="s">
        <v>65</v>
      </c>
      <c r="T59" s="54">
        <f>SUM(E59,E63)</f>
        <v>2616.8153598468057</v>
      </c>
      <c r="U59" s="54">
        <f>SUM(F59,F63)</f>
        <v>3006.6642237259975</v>
      </c>
      <c r="V59" s="119">
        <f t="shared" si="7"/>
        <v>0.52539245618407826</v>
      </c>
      <c r="W59" s="119">
        <f t="shared" si="7"/>
        <v>0.59098168978268573</v>
      </c>
    </row>
    <row r="60" spans="3:23">
      <c r="C60" s="332"/>
      <c r="D60" s="244" t="s">
        <v>41</v>
      </c>
      <c r="E60" s="113">
        <f>E41-E58</f>
        <v>1918.5565146624999</v>
      </c>
      <c r="F60" s="129">
        <f>F41-F58</f>
        <v>1628.7942816941722</v>
      </c>
      <c r="G60" s="130">
        <f t="shared" si="5"/>
        <v>-0.151031377368261</v>
      </c>
      <c r="H60" s="202">
        <f>H41-H58</f>
        <v>17937.024330937493</v>
      </c>
      <c r="I60" s="129">
        <f>I41-I58</f>
        <v>16370.918491758812</v>
      </c>
      <c r="J60" s="130">
        <f t="shared" si="6"/>
        <v>-8.7311351664806858E-2</v>
      </c>
      <c r="Q60" s="339" t="s">
        <v>78</v>
      </c>
      <c r="R60" s="41" t="s">
        <v>66</v>
      </c>
      <c r="T60" s="54">
        <f>E58</f>
        <v>113.35232795750005</v>
      </c>
      <c r="U60" s="54">
        <f>F58</f>
        <v>107.39533192499989</v>
      </c>
      <c r="V60" s="119">
        <f t="shared" si="7"/>
        <v>2.2758372223579643E-2</v>
      </c>
      <c r="W60" s="119">
        <f t="shared" si="7"/>
        <v>2.1109332473832256E-2</v>
      </c>
    </row>
    <row r="61" spans="3:23">
      <c r="C61" s="335" t="s">
        <v>64</v>
      </c>
      <c r="D61" s="336"/>
      <c r="E61" s="160">
        <f>SUM(E62:E64)</f>
        <v>145.1678238468059</v>
      </c>
      <c r="F61" s="161">
        <f>SUM(F62:F64)</f>
        <v>143.4411509781163</v>
      </c>
      <c r="G61" s="162">
        <f t="shared" si="5"/>
        <v>-1.1894322191615569E-2</v>
      </c>
      <c r="H61" s="201">
        <f>SUM(H62:H64)</f>
        <v>1160.2603727779829</v>
      </c>
      <c r="I61" s="161">
        <f>SUM(I62:I64)</f>
        <v>1112.4886383526045</v>
      </c>
      <c r="J61" s="162">
        <f t="shared" si="6"/>
        <v>-4.1173287950013848E-2</v>
      </c>
      <c r="Q61" s="339"/>
      <c r="R61" s="41" t="s">
        <v>89</v>
      </c>
      <c r="T61" s="54">
        <f>E57+E62</f>
        <v>290.06571299999996</v>
      </c>
      <c r="U61" s="54">
        <f>F57+F62</f>
        <v>307.42739968984984</v>
      </c>
      <c r="V61" s="119">
        <f t="shared" si="7"/>
        <v>5.8238093426957585E-2</v>
      </c>
      <c r="W61" s="119">
        <f t="shared" si="7"/>
        <v>6.042708817316933E-2</v>
      </c>
    </row>
    <row r="62" spans="3:23">
      <c r="C62" s="266" t="s">
        <v>78</v>
      </c>
      <c r="D62" s="267" t="s">
        <v>114</v>
      </c>
      <c r="E62" s="324">
        <v>23.340396000000002</v>
      </c>
      <c r="F62" s="277">
        <v>18.355525394189044</v>
      </c>
      <c r="G62" s="268">
        <f t="shared" si="5"/>
        <v>-0.21357266628256677</v>
      </c>
      <c r="H62" s="278">
        <v>120.71709100000001</v>
      </c>
      <c r="I62" s="277">
        <v>134.50958339418904</v>
      </c>
      <c r="J62" s="268">
        <f t="shared" si="6"/>
        <v>0.11425467827243296</v>
      </c>
      <c r="Q62" s="41"/>
      <c r="R62" s="41"/>
      <c r="T62" s="41"/>
      <c r="U62" s="41"/>
      <c r="V62" s="41"/>
      <c r="W62" s="41"/>
    </row>
    <row r="63" spans="3:23">
      <c r="C63" s="337" t="s">
        <v>80</v>
      </c>
      <c r="D63" s="243" t="s">
        <v>81</v>
      </c>
      <c r="E63" s="113">
        <f>E47-E62</f>
        <v>79.930374846805904</v>
      </c>
      <c r="F63" s="129">
        <f>F47-F62</f>
        <v>87.790926329617022</v>
      </c>
      <c r="G63" s="130">
        <f>((F63/E63)-1)</f>
        <v>9.8342482415184618E-2</v>
      </c>
      <c r="H63" s="202">
        <f>H47-H62</f>
        <v>663.24443573149563</v>
      </c>
      <c r="I63" s="129">
        <f>I47-I62</f>
        <v>639.75841173548793</v>
      </c>
      <c r="J63" s="322">
        <f>((I63/H63)-1)</f>
        <v>-3.5410811958195842E-2</v>
      </c>
      <c r="Q63" s="41"/>
      <c r="R63" s="41"/>
      <c r="T63" s="41"/>
      <c r="U63" s="41"/>
      <c r="V63" s="41"/>
      <c r="W63" s="41"/>
    </row>
    <row r="64" spans="3:23" ht="13.5" thickBot="1">
      <c r="C64" s="338"/>
      <c r="D64" s="245" t="s">
        <v>41</v>
      </c>
      <c r="E64" s="118">
        <f>E46</f>
        <v>41.897052999999993</v>
      </c>
      <c r="F64" s="132">
        <f>F46</f>
        <v>37.294699254310245</v>
      </c>
      <c r="G64" s="133">
        <f t="shared" si="5"/>
        <v>-0.10984910431981332</v>
      </c>
      <c r="H64" s="203">
        <f>H46</f>
        <v>376.29884604648726</v>
      </c>
      <c r="I64" s="132">
        <f>I46</f>
        <v>338.22064322292772</v>
      </c>
      <c r="J64" s="133">
        <f t="shared" si="6"/>
        <v>-0.10119138876884948</v>
      </c>
      <c r="Q64" s="41"/>
      <c r="R64" s="41"/>
      <c r="T64" s="54">
        <f>SUM(T58:T61)</f>
        <v>4980.6869684668054</v>
      </c>
      <c r="U64" s="54">
        <f>SUM(U58:U61)</f>
        <v>5087.5759362893295</v>
      </c>
      <c r="V64" s="41"/>
      <c r="W64" s="41"/>
    </row>
    <row r="65" spans="3:22" ht="14.25" thickTop="1" thickBot="1">
      <c r="C65" s="330" t="s">
        <v>108</v>
      </c>
      <c r="D65" s="331"/>
      <c r="E65" s="163">
        <f>SUM(E56,E61)</f>
        <v>4980.6869684668054</v>
      </c>
      <c r="F65" s="164">
        <f>SUM(F56,F61)</f>
        <v>5087.5759362893295</v>
      </c>
      <c r="G65" s="165">
        <f t="shared" si="5"/>
        <v>2.1460687752361984E-2</v>
      </c>
      <c r="H65" s="204">
        <f>SUM(H56,H61)</f>
        <v>34234.491381857973</v>
      </c>
      <c r="I65" s="164">
        <f>SUM(I56,I61)</f>
        <v>35966.106661888458</v>
      </c>
      <c r="J65" s="165">
        <f t="shared" si="6"/>
        <v>5.058101377104518E-2</v>
      </c>
      <c r="Q65" s="41"/>
      <c r="R65" s="41"/>
      <c r="S65" s="41"/>
      <c r="T65" s="41"/>
      <c r="U65" s="41"/>
      <c r="V65" s="41"/>
    </row>
    <row r="66" spans="3:22">
      <c r="C66" s="226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3"/>
  <sheetViews>
    <sheetView tabSelected="1" view="pageBreakPreview" zoomScale="90" zoomScaleNormal="100" zoomScaleSheetLayoutView="90" workbookViewId="0">
      <selection activeCell="C3" sqref="C3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1773.4843128734824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2871.3367753013117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120</v>
      </c>
      <c r="N11" s="42" t="str">
        <f t="shared" si="0"/>
        <v>--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134.50804750002499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49.994318492349748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188.34987344500004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69.08320775250003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0.81940092465951386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5087.5759362893295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2"/>
      <c r="G24" s="225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124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5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6" t="s">
        <v>61</v>
      </c>
      <c r="D27" s="354" t="s">
        <v>129</v>
      </c>
      <c r="E27" s="354"/>
      <c r="F27" s="350" t="s">
        <v>74</v>
      </c>
      <c r="G27" s="348" t="s">
        <v>130</v>
      </c>
      <c r="H27" s="349"/>
      <c r="I27" s="350" t="s">
        <v>74</v>
      </c>
      <c r="N27" s="53">
        <v>2022</v>
      </c>
      <c r="O27" s="53">
        <v>2023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7"/>
      <c r="D28" s="75">
        <v>2022</v>
      </c>
      <c r="E28" s="76">
        <v>2023</v>
      </c>
      <c r="F28" s="351"/>
      <c r="G28" s="205">
        <v>2022</v>
      </c>
      <c r="H28" s="76">
        <v>2023</v>
      </c>
      <c r="I28" s="351"/>
      <c r="M28" s="42" t="s">
        <v>85</v>
      </c>
      <c r="N28" s="53">
        <f t="shared" ref="N28:O29" si="1">D29</f>
        <v>2073.8058956199998</v>
      </c>
      <c r="O28" s="53">
        <f t="shared" si="1"/>
        <v>1773.4843128734824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2073.8058956199998</v>
      </c>
      <c r="E29" s="139">
        <f>'Resumen (G)'!F41+'Resumen (G)'!F46</f>
        <v>1773.4843128734824</v>
      </c>
      <c r="F29" s="140">
        <f>+E29/D29-1</f>
        <v>-0.14481663080465446</v>
      </c>
      <c r="G29" s="218">
        <f>'Resumen (G)'!H41+'Resumen (G)'!H46</f>
        <v>19697.623607126479</v>
      </c>
      <c r="H29" s="139">
        <f>'Resumen (G)'!I41+'Resumen (G)'!I46</f>
        <v>18087.548674084239</v>
      </c>
      <c r="I29" s="140">
        <f>+H29/G29-1</f>
        <v>-8.1739552199572185E-2</v>
      </c>
      <c r="J29" s="36"/>
      <c r="M29" s="42" t="s">
        <v>2</v>
      </c>
      <c r="N29" s="53">
        <f t="shared" si="1"/>
        <v>2529.797231</v>
      </c>
      <c r="O29" s="53">
        <f t="shared" si="1"/>
        <v>2871.3367753013117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2529.797231</v>
      </c>
      <c r="E30" s="143">
        <v>2871.3367753013117</v>
      </c>
      <c r="F30" s="144">
        <f t="shared" ref="F30:F37" si="2">+E30/D30-1</f>
        <v>0.13500668753847322</v>
      </c>
      <c r="G30" s="219">
        <v>12152.221914000002</v>
      </c>
      <c r="H30" s="143">
        <v>15276.049898341304</v>
      </c>
      <c r="I30" s="144">
        <f t="shared" ref="I30:I37" si="3">+H30/G30-1</f>
        <v>0.25705817474765569</v>
      </c>
      <c r="J30" s="223"/>
      <c r="K30" s="224"/>
      <c r="M30" s="42" t="s">
        <v>84</v>
      </c>
      <c r="N30" s="53">
        <f>D32</f>
        <v>84.717468846803968</v>
      </c>
      <c r="O30" s="53">
        <f>E32</f>
        <v>134.50804750002499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120</v>
      </c>
      <c r="D31" s="308" t="s">
        <v>119</v>
      </c>
      <c r="E31" s="312" t="s">
        <v>119</v>
      </c>
      <c r="F31" s="144"/>
      <c r="G31" s="311" t="s">
        <v>119</v>
      </c>
      <c r="H31" s="312" t="s">
        <v>119</v>
      </c>
      <c r="I31" s="314" t="s">
        <v>119</v>
      </c>
      <c r="J31" s="223"/>
      <c r="K31" s="224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84.717468846803968</v>
      </c>
      <c r="E32" s="143">
        <f>'Resumen (G)'!F32-SUM('TipoRecurso (G)'!E29:E30,'TipoRecurso (G)'!E33:E36)</f>
        <v>134.50804750002499</v>
      </c>
      <c r="F32" s="144">
        <f t="shared" si="2"/>
        <v>0.58772505046459966</v>
      </c>
      <c r="G32" s="219">
        <f>'Resumen (G)'!H32-SUM('TipoRecurso (G)'!G29:G30,'TipoRecurso (G)'!G33:G36)</f>
        <v>538.62241073149198</v>
      </c>
      <c r="H32" s="143">
        <f>'Resumen (G)'!I32-SUM('TipoRecurso (G)'!H29:H30,'TipoRecurso (G)'!H33:H36)</f>
        <v>681.79137777091819</v>
      </c>
      <c r="I32" s="144">
        <f t="shared" si="3"/>
        <v>0.26580581161669703</v>
      </c>
      <c r="J32" s="36"/>
      <c r="M32" s="42" t="s">
        <v>4</v>
      </c>
      <c r="N32" s="77">
        <f>D36</f>
        <v>2.3006599999999997</v>
      </c>
      <c r="O32" s="77">
        <f>E36</f>
        <v>0.81940092465951386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58.287239999999997</v>
      </c>
      <c r="E33" s="143">
        <f>'Resumen (G)'!F57+'Resumen (G)'!F62-SUM('TipoRecurso (G)'!E34:E35)</f>
        <v>49.994318492349748</v>
      </c>
      <c r="F33" s="144">
        <f t="shared" si="2"/>
        <v>-0.14227679175837193</v>
      </c>
      <c r="G33" s="219">
        <f>'Resumen (G)'!H57+'Resumen (G)'!H62-SUM('TipoRecurso (G)'!G34:G35)</f>
        <v>295.73134400000004</v>
      </c>
      <c r="H33" s="143">
        <f>'Resumen (G)'!I57+'Resumen (G)'!I62-SUM('TipoRecurso (G)'!H34:H35)</f>
        <v>300.13463689985019</v>
      </c>
      <c r="I33" s="144">
        <f t="shared" si="3"/>
        <v>1.4889503561888784E-2</v>
      </c>
      <c r="M33" s="42" t="s">
        <v>90</v>
      </c>
      <c r="N33" s="53">
        <f t="shared" ref="N33:O35" si="4">D33</f>
        <v>58.287239999999997</v>
      </c>
      <c r="O33" s="53">
        <f t="shared" si="4"/>
        <v>49.994318492349748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172.79672999999997</v>
      </c>
      <c r="E34" s="143">
        <f>'Resumen (G)'!F43</f>
        <v>188.34987344500004</v>
      </c>
      <c r="F34" s="144">
        <f t="shared" si="2"/>
        <v>9.000832044101803E-2</v>
      </c>
      <c r="G34" s="219">
        <f>'Resumen (G)'!H43</f>
        <v>1097.027229</v>
      </c>
      <c r="H34" s="143">
        <f>'Resumen (G)'!I43</f>
        <v>1176.8174043000001</v>
      </c>
      <c r="I34" s="144">
        <f t="shared" si="3"/>
        <v>7.2733085552245669E-2</v>
      </c>
      <c r="M34" s="42" t="s">
        <v>14</v>
      </c>
      <c r="N34" s="53">
        <f t="shared" si="4"/>
        <v>172.79672999999997</v>
      </c>
      <c r="O34" s="53">
        <f t="shared" si="4"/>
        <v>188.34987344500004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58.981743000000009</v>
      </c>
      <c r="E35" s="143">
        <f>'Resumen (G)'!F44</f>
        <v>69.08320775250003</v>
      </c>
      <c r="F35" s="318">
        <f t="shared" si="2"/>
        <v>0.17126426312121734</v>
      </c>
      <c r="G35" s="219">
        <f>'Resumen (G)'!H44</f>
        <v>439.02881499999995</v>
      </c>
      <c r="H35" s="143">
        <f>'Resumen (G)'!I44</f>
        <v>437.84362756749999</v>
      </c>
      <c r="I35" s="365">
        <f t="shared" si="3"/>
        <v>-2.6995663883701004E-3</v>
      </c>
      <c r="M35" s="42" t="s">
        <v>5</v>
      </c>
      <c r="N35" s="53">
        <f t="shared" si="4"/>
        <v>58.981743000000009</v>
      </c>
      <c r="O35" s="53">
        <f t="shared" si="4"/>
        <v>69.08320775250003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5" thickBot="1">
      <c r="C36" s="145" t="s">
        <v>118</v>
      </c>
      <c r="D36" s="313">
        <v>2.3006599999999997</v>
      </c>
      <c r="E36" s="310">
        <v>0.81940092465951386</v>
      </c>
      <c r="F36" s="146">
        <f t="shared" si="2"/>
        <v>-0.64384093057665459</v>
      </c>
      <c r="G36" s="309">
        <v>14.236061999999999</v>
      </c>
      <c r="H36" s="310">
        <v>5.9210429246595142</v>
      </c>
      <c r="I36" s="146">
        <f t="shared" si="3"/>
        <v>-0.58408140364522754</v>
      </c>
      <c r="N36" s="53">
        <f>SUM(N28:N35)</f>
        <v>4980.6869684668036</v>
      </c>
      <c r="O36" s="53">
        <f>SUM(O28:O35)</f>
        <v>5087.5759362893295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8" t="s">
        <v>108</v>
      </c>
      <c r="D37" s="259">
        <f>SUM(D29:D36)</f>
        <v>4980.6869684668036</v>
      </c>
      <c r="E37" s="260">
        <f>SUM(E29:E36)</f>
        <v>5087.5759362893295</v>
      </c>
      <c r="F37" s="261">
        <f t="shared" si="2"/>
        <v>2.1460687752362206E-2</v>
      </c>
      <c r="G37" s="262">
        <f>SUM(G29:G36)</f>
        <v>34234.491381857973</v>
      </c>
      <c r="H37" s="260">
        <f>SUM(H29:H36)</f>
        <v>35966.106661888472</v>
      </c>
      <c r="I37" s="263">
        <f t="shared" si="3"/>
        <v>5.0581013771045624E-2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6"/>
      <c r="N41" s="196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6">
        <f t="shared" ref="M42:N44" si="5">N28/N$36</f>
        <v>0.41636945038896428</v>
      </c>
      <c r="N42" s="196">
        <f t="shared" si="5"/>
        <v>0.34859122204414494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6">
        <f t="shared" si="5"/>
        <v>0.50792134639586539</v>
      </c>
      <c r="N43" s="196">
        <f t="shared" si="5"/>
        <v>0.56438209694724428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6">
        <f t="shared" si="5"/>
        <v>1.7009193587783817E-2</v>
      </c>
      <c r="N44" s="196">
        <f t="shared" si="5"/>
        <v>2.6438533632606509E-2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6">
        <f t="shared" ref="M45:N49" si="6">N32/N$36</f>
        <v>4.6191620042891553E-4</v>
      </c>
      <c r="N45" s="196">
        <f t="shared" si="6"/>
        <v>1.6105920283465125E-4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6">
        <f t="shared" si="6"/>
        <v>1.1702650732523842E-2</v>
      </c>
      <c r="N46" s="196">
        <f t="shared" si="6"/>
        <v>9.8267463952220763E-3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6">
        <f t="shared" si="6"/>
        <v>3.4693352763181522E-2</v>
      </c>
      <c r="N47" s="196">
        <f t="shared" si="6"/>
        <v>3.7021535561074057E-2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6">
        <f t="shared" si="6"/>
        <v>1.1842089931252246E-2</v>
      </c>
      <c r="N48" s="196">
        <f t="shared" si="6"/>
        <v>1.3578806216873199E-2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6">
        <f t="shared" si="6"/>
        <v>1</v>
      </c>
      <c r="N49" s="196">
        <f t="shared" si="6"/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5">
      <c r="B51" s="12" t="s">
        <v>100</v>
      </c>
      <c r="D51" s="16"/>
      <c r="E51" s="16"/>
      <c r="F51" s="16"/>
      <c r="G51" s="16"/>
      <c r="H51" s="16"/>
      <c r="I51" s="16"/>
      <c r="M51" s="197">
        <f>SUM(M41:M48)</f>
        <v>1.0000000000000002</v>
      </c>
      <c r="N51" s="197">
        <f>SUM(N41:N48)</f>
        <v>0.99999999999999967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125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5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5">
      <c r="C55" s="352" t="s">
        <v>91</v>
      </c>
      <c r="D55" s="354" t="s">
        <v>129</v>
      </c>
      <c r="E55" s="354"/>
      <c r="F55" s="350" t="s">
        <v>74</v>
      </c>
      <c r="G55" s="348" t="s">
        <v>130</v>
      </c>
      <c r="H55" s="349"/>
      <c r="I55" s="350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53"/>
      <c r="D56" s="75">
        <v>2022</v>
      </c>
      <c r="E56" s="76">
        <v>2023</v>
      </c>
      <c r="F56" s="351"/>
      <c r="G56" s="205">
        <v>2022</v>
      </c>
      <c r="H56" s="76">
        <v>2023</v>
      </c>
      <c r="I56" s="351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49" t="s">
        <v>42</v>
      </c>
      <c r="D57" s="250">
        <f>SUM(D29:D32,D36)</f>
        <v>4690.6212554668036</v>
      </c>
      <c r="E57" s="251">
        <f>SUM(E29:E32,E36)</f>
        <v>4780.1485365994795</v>
      </c>
      <c r="F57" s="252">
        <f>+E57/D57-1</f>
        <v>1.908644425902728E-2</v>
      </c>
      <c r="G57" s="253">
        <f>SUM(G29:G32,G36)</f>
        <v>32402.703993857973</v>
      </c>
      <c r="H57" s="251">
        <f>SUM(H29:H32,H36)</f>
        <v>34051.310993121122</v>
      </c>
      <c r="I57" s="252">
        <f>+H57/G57-1</f>
        <v>5.0878685913856136E-2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75" thickBot="1">
      <c r="C58" s="254" t="s">
        <v>104</v>
      </c>
      <c r="D58" s="300">
        <f>SUM(D33:D35)</f>
        <v>290.06571299999996</v>
      </c>
      <c r="E58" s="255">
        <f>SUM(E33:E35)</f>
        <v>307.42739968984984</v>
      </c>
      <c r="F58" s="301">
        <f>+E58/D58-1</f>
        <v>5.9854322354362166E-2</v>
      </c>
      <c r="G58" s="304">
        <f>SUM(G33:G35)</f>
        <v>1831.787388</v>
      </c>
      <c r="H58" s="255">
        <f>SUM(H33:H35)</f>
        <v>1914.7956687673504</v>
      </c>
      <c r="I58" s="305">
        <f>+H58/G58-1</f>
        <v>4.5315455991855824E-2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4980.6869684668036</v>
      </c>
      <c r="E59" s="79">
        <f>SUM(E57:E58)</f>
        <v>5087.5759362893295</v>
      </c>
      <c r="F59" s="80">
        <f>+E59/D59-1</f>
        <v>2.1460687752362206E-2</v>
      </c>
      <c r="G59" s="220">
        <f>SUM(G57:G58)</f>
        <v>34234.491381857973</v>
      </c>
      <c r="H59" s="79">
        <f>SUM(H57:H58)</f>
        <v>35966.106661888472</v>
      </c>
      <c r="I59" s="80">
        <f>+H59/G59-1</f>
        <v>5.0581013771045624E-2</v>
      </c>
      <c r="N59" s="57"/>
      <c r="O59" s="57"/>
      <c r="P59" s="57"/>
      <c r="Q59" s="57"/>
      <c r="R59" s="57"/>
      <c r="S59" s="57"/>
      <c r="T59" s="57"/>
      <c r="U59" s="57"/>
    </row>
    <row r="60" spans="2:25" ht="13.5" thickBot="1">
      <c r="C60" s="103" t="s">
        <v>8</v>
      </c>
      <c r="D60" s="81">
        <f>+D58/D59</f>
        <v>5.8238093426957606E-2</v>
      </c>
      <c r="E60" s="82">
        <f>+E58/E59</f>
        <v>6.042708817316933E-2</v>
      </c>
      <c r="F60" s="83"/>
      <c r="G60" s="221">
        <f>+G58/G59</f>
        <v>5.3507071788153587E-2</v>
      </c>
      <c r="H60" s="82">
        <f>+H58/H59</f>
        <v>5.3238892014863703E-2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7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5.5">
      <c r="L65" s="68" t="s">
        <v>57</v>
      </c>
      <c r="M65" s="59">
        <f>D57</f>
        <v>4690.6212554668036</v>
      </c>
      <c r="N65" s="59">
        <f>E57</f>
        <v>4780.1485365994795</v>
      </c>
      <c r="O65" s="67">
        <v>4.4847805250167516E-2</v>
      </c>
      <c r="P65" s="60"/>
      <c r="Q65" s="60"/>
      <c r="R65" s="60"/>
      <c r="S65" s="60"/>
      <c r="T65" s="60"/>
    </row>
    <row r="66" spans="2:24" ht="38.25">
      <c r="K66" s="58"/>
      <c r="L66" s="68" t="s">
        <v>58</v>
      </c>
      <c r="M66" s="59">
        <f>D58</f>
        <v>290.06571299999996</v>
      </c>
      <c r="N66" s="59">
        <f>E58</f>
        <v>307.42739968984984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7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5">
      <c r="B74" s="12" t="s">
        <v>115</v>
      </c>
    </row>
    <row r="75" spans="2:24" ht="15">
      <c r="B75" s="12"/>
    </row>
    <row r="76" spans="2:24" ht="15">
      <c r="B76" s="12"/>
      <c r="C76" s="5" t="s">
        <v>126</v>
      </c>
    </row>
    <row r="77" spans="2:24" ht="13.5" thickBot="1">
      <c r="N77" s="42">
        <v>2021</v>
      </c>
      <c r="O77" s="42">
        <v>2022</v>
      </c>
    </row>
    <row r="78" spans="2:24" ht="15" customHeight="1">
      <c r="C78" s="273"/>
      <c r="D78" s="354" t="s">
        <v>129</v>
      </c>
      <c r="E78" s="354"/>
      <c r="F78" s="84" t="s">
        <v>74</v>
      </c>
      <c r="G78" s="348" t="s">
        <v>130</v>
      </c>
      <c r="H78" s="349"/>
      <c r="I78" s="84" t="s">
        <v>74</v>
      </c>
      <c r="M78" s="42" t="s">
        <v>96</v>
      </c>
      <c r="N78" s="53">
        <f>D80</f>
        <v>18.316661585000002</v>
      </c>
      <c r="O78" s="53">
        <f>E80</f>
        <v>205.70939715249997</v>
      </c>
    </row>
    <row r="79" spans="2:24" ht="12.75" customHeight="1">
      <c r="C79" s="298" t="s">
        <v>95</v>
      </c>
      <c r="D79" s="299">
        <v>2022</v>
      </c>
      <c r="E79" s="76">
        <v>2023</v>
      </c>
      <c r="F79" s="85"/>
      <c r="G79" s="292">
        <v>2022</v>
      </c>
      <c r="H79" s="76">
        <v>2023</v>
      </c>
      <c r="I79" s="85"/>
      <c r="M79" s="42" t="s">
        <v>97</v>
      </c>
      <c r="N79" s="53">
        <f>D81</f>
        <v>4817.2024830350001</v>
      </c>
      <c r="O79" s="53">
        <f>E81</f>
        <v>4738.4253881587138</v>
      </c>
    </row>
    <row r="80" spans="2:24" ht="12.75" customHeight="1">
      <c r="C80" s="110" t="s">
        <v>96</v>
      </c>
      <c r="D80" s="113">
        <v>18.316661585000002</v>
      </c>
      <c r="E80" s="297">
        <v>205.70939715249997</v>
      </c>
      <c r="F80" s="130">
        <f>((E80/D80)-1)</f>
        <v>10.230725435303169</v>
      </c>
      <c r="G80" s="202">
        <v>259.62917622999998</v>
      </c>
      <c r="H80" s="297">
        <v>370.59566040249996</v>
      </c>
      <c r="I80" s="130">
        <f>((H80/G80)-1)</f>
        <v>0.42740375247424867</v>
      </c>
      <c r="K80" s="54"/>
    </row>
    <row r="81" spans="3:15" ht="16.5" customHeight="1" thickBot="1">
      <c r="C81" s="115" t="s">
        <v>97</v>
      </c>
      <c r="D81" s="118">
        <f>'Resumen (G)'!E40-D80</f>
        <v>4817.2024830350001</v>
      </c>
      <c r="E81" s="280">
        <f>'Resumen (G)'!F40-E80</f>
        <v>4738.4253881587138</v>
      </c>
      <c r="F81" s="133">
        <f>((E81/D81)-1)</f>
        <v>-1.6353287027838226E-2</v>
      </c>
      <c r="G81" s="203">
        <f>'Resumen (G)'!H40-G80</f>
        <v>32814.601832849985</v>
      </c>
      <c r="H81" s="280">
        <f>'Resumen (G)'!I40-H80</f>
        <v>34483.022363133357</v>
      </c>
      <c r="I81" s="133">
        <f>((H81/G81)-1)</f>
        <v>5.0843845029170831E-2</v>
      </c>
      <c r="M81" s="53"/>
      <c r="N81" s="53"/>
      <c r="O81" s="53"/>
    </row>
    <row r="82" spans="3:15" ht="14.25" thickTop="1" thickBot="1">
      <c r="C82" s="104" t="s">
        <v>94</v>
      </c>
      <c r="D82" s="198">
        <f>SUM(D80:D81)</f>
        <v>4835.5191446199997</v>
      </c>
      <c r="E82" s="281">
        <f>SUM(E80:E81)</f>
        <v>4944.1347853112138</v>
      </c>
      <c r="F82" s="105"/>
      <c r="G82" s="222">
        <f>SUM(G80:G81)</f>
        <v>33074.231009079987</v>
      </c>
      <c r="H82" s="281">
        <f>SUM(H80:H81)</f>
        <v>34853.618023535855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C55:C56"/>
    <mergeCell ref="D78:E78"/>
    <mergeCell ref="D27:E27"/>
    <mergeCell ref="F27:F28"/>
    <mergeCell ref="D55:E55"/>
    <mergeCell ref="F55:F56"/>
    <mergeCell ref="G27:H27"/>
    <mergeCell ref="I27:I28"/>
    <mergeCell ref="G55:H55"/>
    <mergeCell ref="I55:I56"/>
    <mergeCell ref="G78:H78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65"/>
  <sheetViews>
    <sheetView view="pageBreakPreview" zoomScaleNormal="100" zoomScaleSheetLayoutView="100" workbookViewId="0">
      <selection activeCell="C3" sqref="C3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127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7" t="s">
        <v>44</v>
      </c>
      <c r="D8" s="362" t="s">
        <v>129</v>
      </c>
      <c r="E8" s="363"/>
      <c r="F8" s="350" t="s">
        <v>74</v>
      </c>
      <c r="G8" s="348" t="s">
        <v>130</v>
      </c>
      <c r="H8" s="349"/>
      <c r="I8" s="350" t="s">
        <v>74</v>
      </c>
      <c r="J8" s="16"/>
    </row>
    <row r="9" spans="3:13" ht="13.5" customHeight="1">
      <c r="C9" s="178"/>
      <c r="D9" s="88">
        <v>2022</v>
      </c>
      <c r="E9" s="76">
        <v>2023</v>
      </c>
      <c r="F9" s="351"/>
      <c r="G9" s="292">
        <v>2022</v>
      </c>
      <c r="H9" s="76">
        <v>2023</v>
      </c>
      <c r="I9" s="351"/>
      <c r="J9" s="16"/>
    </row>
    <row r="10" spans="3:13">
      <c r="C10" s="166" t="s">
        <v>10</v>
      </c>
      <c r="D10" s="167">
        <f>'Por Región (G)'!O8</f>
        <v>300.88787888013934</v>
      </c>
      <c r="E10" s="168">
        <f>'Por Región (G)'!P8</f>
        <v>327.09378763625386</v>
      </c>
      <c r="F10" s="169">
        <f>+E10/D10-1</f>
        <v>8.7095262373642512E-2</v>
      </c>
      <c r="G10" s="288">
        <f>'Por Región (G)'!Q8</f>
        <v>2334.0347259648302</v>
      </c>
      <c r="H10" s="168">
        <f>'Por Región (G)'!R8</f>
        <v>2290.9880084198085</v>
      </c>
      <c r="I10" s="319">
        <f>+H10/G10-1</f>
        <v>-1.8443049311199666E-2</v>
      </c>
      <c r="J10" s="16"/>
      <c r="L10" s="41" t="s">
        <v>9</v>
      </c>
      <c r="M10" s="199">
        <f>E11</f>
        <v>4003.428504558085</v>
      </c>
    </row>
    <row r="11" spans="3:13">
      <c r="C11" s="170" t="s">
        <v>9</v>
      </c>
      <c r="D11" s="171">
        <f>'Por Región (G)'!O9</f>
        <v>4136.796322166666</v>
      </c>
      <c r="E11" s="172">
        <f>'Por Región (G)'!P9</f>
        <v>4003.428504558085</v>
      </c>
      <c r="F11" s="173">
        <f>+E11/D11-1</f>
        <v>-3.2239396678521715E-2</v>
      </c>
      <c r="G11" s="289">
        <f>'Por Región (G)'!Q9</f>
        <v>27482.219671713152</v>
      </c>
      <c r="H11" s="172">
        <f>'Por Región (G)'!R9</f>
        <v>28964.449266211657</v>
      </c>
      <c r="I11" s="173">
        <f>+H11/G11-1</f>
        <v>5.3934129491881366E-2</v>
      </c>
      <c r="J11" s="16"/>
      <c r="L11" s="41" t="s">
        <v>12</v>
      </c>
      <c r="M11" s="199">
        <f>E12</f>
        <v>722.43212764498992</v>
      </c>
    </row>
    <row r="12" spans="3:13">
      <c r="C12" s="170" t="s">
        <v>12</v>
      </c>
      <c r="D12" s="171">
        <f>'Por Región (G)'!O10</f>
        <v>508.13715368666675</v>
      </c>
      <c r="E12" s="172">
        <f>'Por Región (G)'!P10</f>
        <v>722.43212764498992</v>
      </c>
      <c r="F12" s="173">
        <f>+E12/D12-1</f>
        <v>0.42172663896658125</v>
      </c>
      <c r="G12" s="289">
        <f>'Por Región (G)'!Q10</f>
        <v>4178.0908370466668</v>
      </c>
      <c r="H12" s="172">
        <f>'Por Región (G)'!R10</f>
        <v>4473.0766098069926</v>
      </c>
      <c r="I12" s="173">
        <f>+H12/G12-1</f>
        <v>7.0603006077493591E-2</v>
      </c>
      <c r="J12" s="16"/>
      <c r="L12" s="41" t="s">
        <v>10</v>
      </c>
      <c r="M12" s="199">
        <f>E10</f>
        <v>327.09378763625386</v>
      </c>
    </row>
    <row r="13" spans="3:13">
      <c r="C13" s="174" t="s">
        <v>11</v>
      </c>
      <c r="D13" s="328">
        <f>'Por Región (G)'!O11</f>
        <v>34.865613733333326</v>
      </c>
      <c r="E13" s="329">
        <f>'Por Región (G)'!P11</f>
        <v>34.621516450000001</v>
      </c>
      <c r="F13" s="176">
        <f>+E13/D13-1</f>
        <v>-7.0010895319463362E-3</v>
      </c>
      <c r="G13" s="290">
        <f>'Por Región (G)'!Q11</f>
        <v>240.14614713333336</v>
      </c>
      <c r="H13" s="175">
        <f>'Por Región (G)'!R11</f>
        <v>237.59277745</v>
      </c>
      <c r="I13" s="176">
        <f>+H13/G13-1</f>
        <v>-1.0632565684744022E-2</v>
      </c>
      <c r="J13" s="16"/>
      <c r="L13" s="41" t="s">
        <v>11</v>
      </c>
      <c r="M13" s="199">
        <f>E13</f>
        <v>34.621516450000001</v>
      </c>
    </row>
    <row r="14" spans="3:13" ht="13.5" thickBot="1">
      <c r="C14" s="179" t="s">
        <v>108</v>
      </c>
      <c r="D14" s="180">
        <f>SUM(D10:D13)</f>
        <v>4980.6869684668054</v>
      </c>
      <c r="E14" s="181">
        <f>SUM(E10:E13)</f>
        <v>5087.5759362893286</v>
      </c>
      <c r="F14" s="182">
        <f>+E14/D14-1</f>
        <v>2.1460687752361762E-2</v>
      </c>
      <c r="G14" s="291">
        <f>SUM(G10:G13)</f>
        <v>34234.491381857981</v>
      </c>
      <c r="H14" s="181">
        <f>SUM(H10:H13)</f>
        <v>35966.106661888458</v>
      </c>
      <c r="I14" s="182">
        <f>+H14/G14-1</f>
        <v>5.0581013771044958E-2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133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59" t="s">
        <v>93</v>
      </c>
      <c r="D18" s="359"/>
      <c r="E18" s="359"/>
      <c r="F18" s="359"/>
      <c r="G18" s="360" t="s">
        <v>107</v>
      </c>
      <c r="H18" s="361"/>
      <c r="I18" s="361"/>
      <c r="J18" s="361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4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3" t="s">
        <v>98</v>
      </c>
      <c r="D53" s="69"/>
      <c r="E53" s="69"/>
      <c r="F53" s="69"/>
      <c r="G53" s="69"/>
      <c r="H53" s="69"/>
      <c r="I53" s="27"/>
    </row>
    <row r="54" spans="3:15" ht="15">
      <c r="C54" s="355" t="s">
        <v>13</v>
      </c>
      <c r="D54" s="357" t="s">
        <v>134</v>
      </c>
      <c r="E54" s="358"/>
      <c r="F54" s="358"/>
      <c r="G54" s="358"/>
      <c r="H54" s="358"/>
    </row>
    <row r="55" spans="3:15">
      <c r="C55" s="356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4" t="s">
        <v>10</v>
      </c>
      <c r="D56" s="285">
        <f>'Resumen (G)'!D14-'PorZona (G)'!D58</f>
        <v>81.185017897500089</v>
      </c>
      <c r="E56" s="187">
        <v>130.86950572172233</v>
      </c>
      <c r="F56" s="187">
        <v>0</v>
      </c>
      <c r="G56" s="187">
        <v>115.03926401703143</v>
      </c>
      <c r="H56" s="187">
        <f>SUM(D56:G56)</f>
        <v>327.09378763625386</v>
      </c>
      <c r="I56" s="283"/>
      <c r="K56" s="264"/>
      <c r="L56" s="264"/>
      <c r="M56" s="264"/>
      <c r="N56" s="264"/>
      <c r="O56" s="264"/>
    </row>
    <row r="57" spans="3:15">
      <c r="C57" s="110" t="s">
        <v>9</v>
      </c>
      <c r="D57" s="286">
        <v>0</v>
      </c>
      <c r="E57" s="188">
        <v>1391.3300191543324</v>
      </c>
      <c r="F57" s="315">
        <v>6.4599999999999996E-3</v>
      </c>
      <c r="G57" s="188">
        <v>2612.0920254037528</v>
      </c>
      <c r="H57" s="188">
        <f>SUM(D57:G57)</f>
        <v>4003.4285045580855</v>
      </c>
      <c r="I57" s="283"/>
      <c r="K57" s="264"/>
      <c r="L57" s="264"/>
      <c r="M57" s="264"/>
      <c r="N57" s="264"/>
      <c r="O57" s="264"/>
    </row>
    <row r="58" spans="3:15">
      <c r="C58" s="110" t="s">
        <v>12</v>
      </c>
      <c r="D58" s="286">
        <v>107.16485554749995</v>
      </c>
      <c r="E58" s="188">
        <v>251.28478799742803</v>
      </c>
      <c r="F58" s="188">
        <f>'Resumen (G)'!D15+0.017416</f>
        <v>69.100623752500027</v>
      </c>
      <c r="G58" s="188">
        <v>294.88186034756188</v>
      </c>
      <c r="H58" s="188">
        <f>SUM(D58:G58)</f>
        <v>722.43212764498992</v>
      </c>
      <c r="I58" s="283"/>
      <c r="K58" s="264"/>
      <c r="L58" s="264"/>
      <c r="M58" s="264"/>
      <c r="N58" s="264"/>
      <c r="O58" s="264"/>
    </row>
    <row r="59" spans="3:15">
      <c r="C59" s="185" t="s">
        <v>11</v>
      </c>
      <c r="D59" s="287">
        <v>0</v>
      </c>
      <c r="E59" s="189">
        <v>0</v>
      </c>
      <c r="F59" s="189">
        <v>0</v>
      </c>
      <c r="G59" s="189">
        <f>E13</f>
        <v>34.621516450000001</v>
      </c>
      <c r="H59" s="189">
        <f>SUM(D59:G59)</f>
        <v>34.621516450000001</v>
      </c>
      <c r="I59" s="283"/>
      <c r="L59" s="264"/>
    </row>
    <row r="60" spans="3:15" ht="13.5" thickBot="1">
      <c r="C60" s="93" t="s">
        <v>108</v>
      </c>
      <c r="D60" s="190">
        <f>SUM(D56:D59)</f>
        <v>188.34987344500004</v>
      </c>
      <c r="E60" s="191">
        <f>SUM(E56:E59)</f>
        <v>1773.4843128734828</v>
      </c>
      <c r="F60" s="191">
        <f>SUM(F56:F59)</f>
        <v>69.107083752500031</v>
      </c>
      <c r="G60" s="191">
        <f>SUM(G56:G59)</f>
        <v>3056.634666218346</v>
      </c>
      <c r="H60" s="191">
        <f>SUM(H56:H59)</f>
        <v>5087.5759362893295</v>
      </c>
    </row>
    <row r="61" spans="3:15" ht="6.75" customHeight="1"/>
    <row r="64" spans="3:15">
      <c r="E64" s="264"/>
      <c r="H64" s="100"/>
    </row>
    <row r="65" spans="5:5">
      <c r="E65" s="100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3"/>
  <sheetViews>
    <sheetView view="pageBreakPreview" zoomScale="90" zoomScaleNormal="100" zoomScaleSheetLayoutView="90" workbookViewId="0">
      <selection activeCell="C1" sqref="C1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62" t="s">
        <v>129</v>
      </c>
      <c r="E6" s="363"/>
      <c r="F6" s="350" t="s">
        <v>74</v>
      </c>
      <c r="G6" s="348" t="s">
        <v>130</v>
      </c>
      <c r="H6" s="349"/>
      <c r="I6" s="350" t="s">
        <v>74</v>
      </c>
      <c r="O6" s="36"/>
      <c r="P6" s="7"/>
      <c r="Q6" s="364" t="s">
        <v>116</v>
      </c>
      <c r="R6" s="364"/>
    </row>
    <row r="7" spans="3:19" ht="12.75" customHeight="1">
      <c r="C7" s="87"/>
      <c r="D7" s="88">
        <v>2022</v>
      </c>
      <c r="E7" s="76">
        <v>2023</v>
      </c>
      <c r="F7" s="351"/>
      <c r="G7" s="205">
        <v>2022</v>
      </c>
      <c r="H7" s="76">
        <v>2023</v>
      </c>
      <c r="I7" s="351"/>
      <c r="N7" s="41"/>
      <c r="O7" s="54">
        <v>2021</v>
      </c>
      <c r="P7" s="199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03">
        <v>4.2938320000000001</v>
      </c>
      <c r="E8" s="296">
        <v>3.1056866699999999</v>
      </c>
      <c r="F8" s="193">
        <f>+E8/D8-1</f>
        <v>-0.27670978510570521</v>
      </c>
      <c r="G8" s="302">
        <v>29.125978000000003</v>
      </c>
      <c r="H8" s="296">
        <v>20.935504680000001</v>
      </c>
      <c r="I8" s="193">
        <f>+H8/G8-1</f>
        <v>-0.281208525255358</v>
      </c>
      <c r="J8" s="16"/>
      <c r="K8" s="35"/>
      <c r="L8" s="35"/>
      <c r="N8" s="41" t="s">
        <v>10</v>
      </c>
      <c r="O8" s="54">
        <f>SUM(D8,D13,D20,D21,D27,D29,D31)</f>
        <v>300.88787888013934</v>
      </c>
      <c r="P8" s="54">
        <f>SUM(E8,E13,E20,E21,E27,E29,E31)</f>
        <v>327.09378763625386</v>
      </c>
      <c r="Q8" s="54">
        <f>SUM(G8,G13,G20,G21,G27,G29,G31)</f>
        <v>2334.0347259648302</v>
      </c>
      <c r="R8" s="54">
        <f>SUM(H8,H13,H20,H21,H27,H29,H31)</f>
        <v>2290.9880084198085</v>
      </c>
    </row>
    <row r="9" spans="3:19" ht="20.100000000000001" customHeight="1">
      <c r="C9" s="96" t="s">
        <v>18</v>
      </c>
      <c r="D9" s="192">
        <v>85.221935700000017</v>
      </c>
      <c r="E9" s="246">
        <v>91.511309462557094</v>
      </c>
      <c r="F9" s="194">
        <f t="shared" ref="F9:F32" si="0">+E9/D9-1</f>
        <v>7.379994024891734E-2</v>
      </c>
      <c r="G9" s="206">
        <v>1434.5528318999998</v>
      </c>
      <c r="H9" s="246">
        <v>1187.0027292791572</v>
      </c>
      <c r="I9" s="194">
        <f t="shared" ref="I9:I32" si="1">+H9/G9-1</f>
        <v>-0.17256255546404231</v>
      </c>
      <c r="J9" s="16"/>
      <c r="K9" s="35"/>
      <c r="L9" s="35"/>
      <c r="N9" s="41" t="s">
        <v>9</v>
      </c>
      <c r="O9" s="54">
        <f>SUM(D9,D14,D16,D17,D19,D22,D26,D32)</f>
        <v>4136.796322166666</v>
      </c>
      <c r="P9" s="54">
        <f>SUM(E9,E14,E16,E17,E19,E22,E26,E32)</f>
        <v>4003.428504558085</v>
      </c>
      <c r="Q9" s="54">
        <f>SUM(G9,G14,G16,G17,G19,G22,G26,G32)</f>
        <v>27482.219671713152</v>
      </c>
      <c r="R9" s="54">
        <f>SUM(H9,H14,H16,H17,H19,H22,H26,H32)</f>
        <v>28964.449266211657</v>
      </c>
    </row>
    <row r="10" spans="3:19" ht="20.100000000000001" customHeight="1">
      <c r="C10" s="97" t="s">
        <v>19</v>
      </c>
      <c r="D10" s="294">
        <v>3.698197</v>
      </c>
      <c r="E10" s="269">
        <v>3.1363598333333336</v>
      </c>
      <c r="F10" s="194">
        <f t="shared" si="0"/>
        <v>-0.15192191402098543</v>
      </c>
      <c r="G10" s="293">
        <v>30.074112</v>
      </c>
      <c r="H10" s="269">
        <v>25.845967833333333</v>
      </c>
      <c r="I10" s="194">
        <f t="shared" si="1"/>
        <v>-0.14059082331896178</v>
      </c>
      <c r="J10" s="16"/>
      <c r="K10" s="35"/>
      <c r="L10" s="35"/>
      <c r="N10" s="41" t="s">
        <v>12</v>
      </c>
      <c r="O10" s="54">
        <f>SUM(D10,D11,D12,D15,D18,D24,D25,D28,D30)</f>
        <v>508.13715368666675</v>
      </c>
      <c r="P10" s="54">
        <f>SUM(E10,E11,E12,E15,E18,E24,E25,E28,E30)</f>
        <v>722.43212764498992</v>
      </c>
      <c r="Q10" s="54">
        <f>SUM(G10,G11,G12,G15,G18,G24,G25,G28,G30)</f>
        <v>4178.0908370466668</v>
      </c>
      <c r="R10" s="54">
        <f>SUM(H10,H11,H12,H15,H18,H24,H25,H28,H30)</f>
        <v>4473.0766098069926</v>
      </c>
    </row>
    <row r="11" spans="3:19" ht="20.100000000000001" customHeight="1">
      <c r="C11" s="96" t="s">
        <v>20</v>
      </c>
      <c r="D11" s="192">
        <v>90.915128600000003</v>
      </c>
      <c r="E11" s="246">
        <v>239.92896804159963</v>
      </c>
      <c r="F11" s="320">
        <f t="shared" si="0"/>
        <v>1.6390433774473001</v>
      </c>
      <c r="G11" s="206">
        <v>655.82075670000006</v>
      </c>
      <c r="H11" s="246">
        <v>779.85934956110259</v>
      </c>
      <c r="I11" s="194">
        <f t="shared" si="1"/>
        <v>0.18913489942777617</v>
      </c>
      <c r="J11" s="16"/>
      <c r="K11" s="35"/>
      <c r="L11" s="35"/>
      <c r="N11" s="274" t="s">
        <v>11</v>
      </c>
      <c r="O11" s="54">
        <f>D23</f>
        <v>34.865613733333326</v>
      </c>
      <c r="P11" s="54">
        <f>E23</f>
        <v>34.621516450000001</v>
      </c>
      <c r="Q11" s="54">
        <f>G23</f>
        <v>240.14614713333336</v>
      </c>
      <c r="R11" s="54">
        <f>H23</f>
        <v>237.59277745</v>
      </c>
    </row>
    <row r="12" spans="3:19" ht="20.100000000000001" customHeight="1">
      <c r="C12" s="96" t="s">
        <v>21</v>
      </c>
      <c r="D12" s="294">
        <v>0.62513099999999999</v>
      </c>
      <c r="E12" s="269">
        <v>1.0218631065544406</v>
      </c>
      <c r="F12" s="194">
        <f t="shared" si="0"/>
        <v>0.63463835028888438</v>
      </c>
      <c r="G12" s="293">
        <v>6.5091950000000001</v>
      </c>
      <c r="H12" s="269">
        <v>7.2588511065544408</v>
      </c>
      <c r="I12" s="194">
        <f t="shared" si="1"/>
        <v>0.11516878915971041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2">
        <v>93.036263200000008</v>
      </c>
      <c r="E13" s="246">
        <v>79.926256412500038</v>
      </c>
      <c r="F13" s="194">
        <f t="shared" si="0"/>
        <v>-0.14091286920367163</v>
      </c>
      <c r="G13" s="206">
        <v>935.74506240000005</v>
      </c>
      <c r="H13" s="246">
        <v>899.49465203000011</v>
      </c>
      <c r="I13" s="194">
        <f t="shared" si="1"/>
        <v>-3.873962238927009E-2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2">
        <v>340.00717866666662</v>
      </c>
      <c r="E14" s="246">
        <v>323.59950823492414</v>
      </c>
      <c r="F14" s="194">
        <f t="shared" si="0"/>
        <v>-4.8256835329433145E-2</v>
      </c>
      <c r="G14" s="206">
        <v>1802.9961646666668</v>
      </c>
      <c r="H14" s="246">
        <v>1767.142862177197</v>
      </c>
      <c r="I14" s="194">
        <f t="shared" si="1"/>
        <v>-1.9885401417977122E-2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2">
        <v>110.94229606666667</v>
      </c>
      <c r="E15" s="246">
        <v>122.26114177153664</v>
      </c>
      <c r="F15" s="194">
        <f t="shared" si="0"/>
        <v>0.10202462096212916</v>
      </c>
      <c r="G15" s="206">
        <v>1266.1622964666667</v>
      </c>
      <c r="H15" s="246">
        <v>1231.9976783965365</v>
      </c>
      <c r="I15" s="194">
        <f t="shared" si="1"/>
        <v>-2.6982811102075566E-2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2">
        <v>818.66167599999994</v>
      </c>
      <c r="E16" s="246">
        <v>645.42335562416747</v>
      </c>
      <c r="F16" s="194">
        <f t="shared" si="0"/>
        <v>-0.21161161619569024</v>
      </c>
      <c r="G16" s="206">
        <v>6146.3670621478122</v>
      </c>
      <c r="H16" s="246">
        <v>5341.3171930891676</v>
      </c>
      <c r="I16" s="194">
        <f t="shared" si="1"/>
        <v>-0.13097979032468077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2">
        <v>78.224993133333342</v>
      </c>
      <c r="E17" s="246">
        <v>41.718916387500016</v>
      </c>
      <c r="F17" s="194">
        <f t="shared" si="0"/>
        <v>-0.46668047236014787</v>
      </c>
      <c r="G17" s="206">
        <v>1575.0696239333333</v>
      </c>
      <c r="H17" s="246">
        <v>1543.6760278518998</v>
      </c>
      <c r="I17" s="194">
        <f t="shared" si="1"/>
        <v>-1.9931560868424403E-2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2">
        <v>159.29572706666667</v>
      </c>
      <c r="E18" s="246">
        <v>153.79632428583326</v>
      </c>
      <c r="F18" s="194">
        <f t="shared" si="0"/>
        <v>-3.4523228476378787E-2</v>
      </c>
      <c r="G18" s="206">
        <v>1032.2947664666667</v>
      </c>
      <c r="H18" s="246">
        <v>1152.9879198333333</v>
      </c>
      <c r="I18" s="194">
        <f t="shared" si="1"/>
        <v>0.1169173353263957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2">
        <v>213.75698946666671</v>
      </c>
      <c r="E19" s="246">
        <v>171.61252515499982</v>
      </c>
      <c r="F19" s="194">
        <f t="shared" si="0"/>
        <v>-0.19716063749222523</v>
      </c>
      <c r="G19" s="206">
        <v>2104.1514292666666</v>
      </c>
      <c r="H19" s="246">
        <v>1997.8021636199999</v>
      </c>
      <c r="I19" s="326">
        <f t="shared" si="1"/>
        <v>-5.0542591263847969E-2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2">
        <v>57.708480465133952</v>
      </c>
      <c r="E20" s="246">
        <v>72.56264729268581</v>
      </c>
      <c r="F20" s="194">
        <f t="shared" si="0"/>
        <v>0.25740006854844122</v>
      </c>
      <c r="G20" s="206">
        <v>397.36490105979203</v>
      </c>
      <c r="H20" s="246">
        <v>353.73189696624064</v>
      </c>
      <c r="I20" s="194">
        <f t="shared" si="1"/>
        <v>-0.10980588365298494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2">
        <v>5.5062642666666672</v>
      </c>
      <c r="E21" s="246">
        <v>9.5717265772714892</v>
      </c>
      <c r="F21" s="194">
        <f t="shared" si="0"/>
        <v>0.73833403442256773</v>
      </c>
      <c r="G21" s="206">
        <v>39.929704866666668</v>
      </c>
      <c r="H21" s="246">
        <v>46.452591867271494</v>
      </c>
      <c r="I21" s="194">
        <f t="shared" si="1"/>
        <v>0.16335925903750259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2">
        <v>2491.6797888666656</v>
      </c>
      <c r="E22" s="246">
        <v>2636.0720423289958</v>
      </c>
      <c r="F22" s="194">
        <f t="shared" si="0"/>
        <v>5.7949763090548112E-2</v>
      </c>
      <c r="G22" s="206">
        <v>13718.849115816663</v>
      </c>
      <c r="H22" s="246">
        <v>16400.583548131697</v>
      </c>
      <c r="I22" s="194">
        <f t="shared" si="1"/>
        <v>0.19547809074036859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294">
        <v>34.865613733333326</v>
      </c>
      <c r="E23" s="269">
        <v>34.621516450000001</v>
      </c>
      <c r="F23" s="194">
        <f t="shared" si="0"/>
        <v>-7.0010895319463362E-3</v>
      </c>
      <c r="G23" s="206">
        <v>240.14614713333336</v>
      </c>
      <c r="H23" s="246">
        <v>237.59277745</v>
      </c>
      <c r="I23" s="194">
        <f t="shared" si="1"/>
        <v>-1.0632565684744022E-2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327">
        <v>0.14646899999999999</v>
      </c>
      <c r="E24" s="321">
        <v>0.14555664000000001</v>
      </c>
      <c r="F24" s="194">
        <f t="shared" si="0"/>
        <v>-6.2290313991354429E-3</v>
      </c>
      <c r="G24" s="293">
        <v>0.84545800000000004</v>
      </c>
      <c r="H24" s="269">
        <v>1.1743446500000001</v>
      </c>
      <c r="I24" s="194">
        <f t="shared" si="1"/>
        <v>0.38900412557454067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2">
        <v>62.158657333333338</v>
      </c>
      <c r="E25" s="246">
        <v>147.40195852613272</v>
      </c>
      <c r="F25" s="194">
        <f t="shared" si="0"/>
        <v>1.3713826013916588</v>
      </c>
      <c r="G25" s="206">
        <v>398.5587083333333</v>
      </c>
      <c r="H25" s="246">
        <v>546.39085553863276</v>
      </c>
      <c r="I25" s="194">
        <f t="shared" si="1"/>
        <v>0.37091686648497602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2">
        <v>65.101320999999999</v>
      </c>
      <c r="E26" s="246">
        <v>46.366567154183144</v>
      </c>
      <c r="F26" s="194">
        <f t="shared" si="0"/>
        <v>-0.28777839770435465</v>
      </c>
      <c r="G26" s="206">
        <v>570.25798264867558</v>
      </c>
      <c r="H26" s="246">
        <v>520.19788926428203</v>
      </c>
      <c r="I26" s="194">
        <f t="shared" si="1"/>
        <v>-8.7784993647751497E-2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2">
        <v>136.73035794833868</v>
      </c>
      <c r="E27" s="246">
        <v>156.45701296737678</v>
      </c>
      <c r="F27" s="194">
        <f t="shared" si="0"/>
        <v>0.14427414156621676</v>
      </c>
      <c r="G27" s="206">
        <v>894.93310863837064</v>
      </c>
      <c r="H27" s="246">
        <v>929.93272215987668</v>
      </c>
      <c r="I27" s="194">
        <f t="shared" si="1"/>
        <v>3.9108636370328798E-2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2">
        <v>67.47497362</v>
      </c>
      <c r="E28" s="246">
        <v>46.403766522499986</v>
      </c>
      <c r="F28" s="194">
        <f t="shared" si="0"/>
        <v>-0.31228181304919223</v>
      </c>
      <c r="G28" s="206">
        <v>698.64166207999995</v>
      </c>
      <c r="H28" s="246">
        <v>667.50296555000011</v>
      </c>
      <c r="I28" s="320">
        <f t="shared" si="1"/>
        <v>-4.4570340161640964E-2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192">
        <v>2.5121329999999999</v>
      </c>
      <c r="E29" s="246">
        <v>4.3699097164197562</v>
      </c>
      <c r="F29" s="194">
        <f t="shared" si="0"/>
        <v>0.73952164014395594</v>
      </c>
      <c r="G29" s="206">
        <v>29.232135000000003</v>
      </c>
      <c r="H29" s="246">
        <v>32.736804716419755</v>
      </c>
      <c r="I29" s="194">
        <f t="shared" si="1"/>
        <v>0.11989099381279367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2">
        <v>12.880574000000001</v>
      </c>
      <c r="E30" s="246">
        <v>8.336188917500003</v>
      </c>
      <c r="F30" s="194">
        <f t="shared" si="0"/>
        <v>-0.35280920574657604</v>
      </c>
      <c r="G30" s="206">
        <v>89.183882000000011</v>
      </c>
      <c r="H30" s="246">
        <v>60.058677337500001</v>
      </c>
      <c r="I30" s="194">
        <f t="shared" si="1"/>
        <v>-0.3265747577852689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2">
        <v>1.1005480000000003</v>
      </c>
      <c r="E31" s="246">
        <v>1.1005480000000001</v>
      </c>
      <c r="F31" s="194">
        <f>+E31/D31-1</f>
        <v>0</v>
      </c>
      <c r="G31" s="206">
        <v>7.7038360000000026</v>
      </c>
      <c r="H31" s="246">
        <v>7.703835999999999</v>
      </c>
      <c r="I31" s="194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6">
        <v>44.142439333333328</v>
      </c>
      <c r="E32" s="247">
        <v>47.124280210757533</v>
      </c>
      <c r="F32" s="195">
        <f t="shared" si="0"/>
        <v>6.7550432700544505E-2</v>
      </c>
      <c r="G32" s="207">
        <v>129.97546133333333</v>
      </c>
      <c r="H32" s="247">
        <v>206.72685279825754</v>
      </c>
      <c r="I32" s="195">
        <f t="shared" si="1"/>
        <v>0.59050678241555632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2" t="s">
        <v>108</v>
      </c>
      <c r="D33" s="89">
        <f>SUM(D8:D32)</f>
        <v>4980.6869684668063</v>
      </c>
      <c r="E33" s="248">
        <f>SUM(E8:E32)</f>
        <v>5087.5759362893286</v>
      </c>
      <c r="F33" s="94">
        <f>+E33/D33-1</f>
        <v>2.146068775236154E-2</v>
      </c>
      <c r="G33" s="208">
        <f>SUM(G8:G32)</f>
        <v>34234.491381857981</v>
      </c>
      <c r="H33" s="248">
        <f>SUM(H8:H32)</f>
        <v>35966.106661888458</v>
      </c>
      <c r="I33" s="209">
        <f>+H33/G33-1</f>
        <v>5.0581013771044958E-2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131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5" t="s">
        <v>45</v>
      </c>
    </row>
    <row r="44" spans="3:19">
      <c r="C44" s="15"/>
      <c r="N44" s="39" t="s">
        <v>30</v>
      </c>
      <c r="O44" s="40">
        <v>2636.0720423289958</v>
      </c>
      <c r="S44" s="36"/>
    </row>
    <row r="45" spans="3:19">
      <c r="C45" s="15"/>
      <c r="N45" s="39" t="s">
        <v>24</v>
      </c>
      <c r="O45" s="40">
        <v>645.42335562416747</v>
      </c>
      <c r="S45" s="36"/>
    </row>
    <row r="46" spans="3:19">
      <c r="C46" s="15"/>
      <c r="N46" s="39" t="s">
        <v>59</v>
      </c>
      <c r="O46" s="40">
        <v>323.59950823492414</v>
      </c>
      <c r="S46" s="36"/>
    </row>
    <row r="47" spans="3:19">
      <c r="N47" s="39" t="s">
        <v>20</v>
      </c>
      <c r="O47" s="40">
        <v>239.92896804159963</v>
      </c>
      <c r="S47" s="36"/>
    </row>
    <row r="48" spans="3:19">
      <c r="N48" s="39" t="s">
        <v>27</v>
      </c>
      <c r="O48" s="40">
        <v>171.61252515499982</v>
      </c>
      <c r="S48" s="36"/>
    </row>
    <row r="49" spans="14:19">
      <c r="N49" s="39" t="s">
        <v>35</v>
      </c>
      <c r="O49" s="40">
        <v>156.45701296737678</v>
      </c>
      <c r="S49" s="36"/>
    </row>
    <row r="50" spans="14:19">
      <c r="N50" s="39" t="s">
        <v>26</v>
      </c>
      <c r="O50" s="40">
        <v>153.79632428583326</v>
      </c>
      <c r="S50" s="36"/>
    </row>
    <row r="51" spans="14:19">
      <c r="N51" s="39" t="s">
        <v>33</v>
      </c>
      <c r="O51" s="40">
        <v>147.40195852613272</v>
      </c>
      <c r="S51" s="99"/>
    </row>
    <row r="52" spans="14:19">
      <c r="N52" s="39" t="s">
        <v>23</v>
      </c>
      <c r="O52" s="40">
        <v>122.26114177153664</v>
      </c>
      <c r="S52" s="36"/>
    </row>
    <row r="53" spans="14:19">
      <c r="N53" s="39" t="s">
        <v>18</v>
      </c>
      <c r="O53" s="40">
        <v>91.511309462557094</v>
      </c>
      <c r="S53" s="36"/>
    </row>
    <row r="54" spans="14:19">
      <c r="N54" s="39" t="s">
        <v>22</v>
      </c>
      <c r="O54" s="40">
        <v>79.926256412500038</v>
      </c>
      <c r="S54" s="36"/>
    </row>
    <row r="55" spans="14:19">
      <c r="N55" s="39" t="s">
        <v>28</v>
      </c>
      <c r="O55" s="40">
        <v>72.56264729268581</v>
      </c>
      <c r="S55" s="36"/>
    </row>
    <row r="56" spans="14:19">
      <c r="N56" s="39" t="s">
        <v>40</v>
      </c>
      <c r="O56" s="40">
        <v>47.124280210757533</v>
      </c>
      <c r="S56" s="36"/>
    </row>
    <row r="57" spans="14:19">
      <c r="N57" s="39" t="s">
        <v>36</v>
      </c>
      <c r="O57" s="40">
        <v>46.403766522499986</v>
      </c>
      <c r="S57" s="36"/>
    </row>
    <row r="58" spans="14:19">
      <c r="N58" s="39" t="s">
        <v>34</v>
      </c>
      <c r="O58" s="40">
        <v>46.366567154183144</v>
      </c>
      <c r="S58" s="36"/>
    </row>
    <row r="59" spans="14:19">
      <c r="N59" s="39" t="s">
        <v>25</v>
      </c>
      <c r="O59" s="40">
        <v>41.718916387500016</v>
      </c>
      <c r="S59" s="36"/>
    </row>
    <row r="60" spans="14:19">
      <c r="N60" s="39" t="s">
        <v>31</v>
      </c>
      <c r="O60" s="40">
        <v>34.621516450000001</v>
      </c>
      <c r="S60" s="36"/>
    </row>
    <row r="61" spans="14:19">
      <c r="N61" s="39" t="s">
        <v>29</v>
      </c>
      <c r="O61" s="40">
        <v>9.5717265772714892</v>
      </c>
      <c r="S61" s="36"/>
    </row>
    <row r="62" spans="14:19">
      <c r="N62" s="39" t="s">
        <v>38</v>
      </c>
      <c r="O62" s="40">
        <v>8.336188917500003</v>
      </c>
      <c r="S62" s="36"/>
    </row>
    <row r="63" spans="14:19">
      <c r="N63" s="39" t="s">
        <v>37</v>
      </c>
      <c r="O63" s="40">
        <v>4.3699097164197562</v>
      </c>
      <c r="S63" s="36"/>
    </row>
    <row r="64" spans="14:19">
      <c r="N64" s="39" t="s">
        <v>19</v>
      </c>
      <c r="O64" s="40">
        <v>3.1363598333333336</v>
      </c>
      <c r="S64" s="36"/>
    </row>
    <row r="65" spans="6:19">
      <c r="N65" s="39" t="s">
        <v>17</v>
      </c>
      <c r="O65" s="40">
        <v>3.1056866699999999</v>
      </c>
      <c r="S65" s="36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1.0218631065544406</v>
      </c>
      <c r="S67" s="36"/>
    </row>
    <row r="68" spans="6:19">
      <c r="N68" t="s">
        <v>32</v>
      </c>
      <c r="O68" s="40">
        <v>0.14555664000000001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2023-08-11T17:50:58Z</dcterms:modified>
</cp:coreProperties>
</file>